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d\Desktop\AFE 결과값\"/>
    </mc:Choice>
  </mc:AlternateContent>
  <bookViews>
    <workbookView minimized="1" xWindow="0" yWindow="0" windowWidth="20730" windowHeight="11760" tabRatio="721" activeTab="5"/>
  </bookViews>
  <sheets>
    <sheet name="체중" sheetId="1" r:id="rId1"/>
    <sheet name="임피던스 64kHz" sheetId="3" r:id="rId2"/>
    <sheet name="임피던스 50kHz " sheetId="8" r:id="rId3"/>
    <sheet name="임피던스 20kHz   (2)" sheetId="18" r:id="rId4"/>
    <sheet name="임피던스 100kHz   (2)" sheetId="20" r:id="rId5"/>
    <sheet name="2017-05-15" sheetId="22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2" l="1"/>
  <c r="C11" i="22"/>
  <c r="C24" i="22"/>
  <c r="D8" i="22" l="1"/>
  <c r="P8" i="22"/>
  <c r="P5" i="22"/>
  <c r="P6" i="22"/>
  <c r="P4" i="22"/>
  <c r="M8" i="22"/>
  <c r="O8" i="22" s="1"/>
  <c r="O5" i="22"/>
  <c r="O6" i="22"/>
  <c r="O4" i="22"/>
  <c r="M5" i="22"/>
  <c r="M6" i="22"/>
  <c r="M4" i="22"/>
  <c r="O17" i="18"/>
  <c r="O16" i="18"/>
  <c r="J25" i="18"/>
  <c r="C23" i="8"/>
  <c r="I26" i="1" l="1"/>
  <c r="J26" i="1" s="1"/>
  <c r="I25" i="1"/>
  <c r="J25" i="1" s="1"/>
  <c r="J24" i="1"/>
  <c r="I24" i="1"/>
  <c r="I23" i="1"/>
  <c r="J23" i="1" s="1"/>
  <c r="J22" i="1"/>
  <c r="J17" i="1"/>
  <c r="J18" i="1"/>
  <c r="J21" i="1"/>
  <c r="J14" i="1"/>
  <c r="I17" i="1"/>
  <c r="I18" i="1"/>
  <c r="I19" i="1"/>
  <c r="J19" i="1" s="1"/>
  <c r="I20" i="1"/>
  <c r="J20" i="1" s="1"/>
  <c r="I21" i="1"/>
  <c r="I22" i="1"/>
  <c r="I16" i="1"/>
  <c r="J16" i="1" s="1"/>
  <c r="I15" i="1"/>
  <c r="J15" i="1" s="1"/>
  <c r="I14" i="1"/>
  <c r="J20" i="18" l="1"/>
  <c r="K20" i="18" s="1"/>
  <c r="J24" i="18" l="1"/>
  <c r="K24" i="18" s="1"/>
  <c r="J23" i="18"/>
  <c r="K23" i="18" s="1"/>
  <c r="J22" i="18"/>
  <c r="K22" i="18" s="1"/>
  <c r="J21" i="18"/>
  <c r="K21" i="18" s="1"/>
  <c r="T37" i="3"/>
  <c r="U37" i="3" s="1"/>
  <c r="Q38" i="3"/>
  <c r="R38" i="3" s="1"/>
  <c r="S38" i="3" s="1"/>
  <c r="T38" i="3"/>
  <c r="U38" i="3" s="1"/>
  <c r="Q39" i="3"/>
  <c r="R39" i="3" s="1"/>
  <c r="S39" i="3" s="1"/>
  <c r="T39" i="3"/>
  <c r="U39" i="3" s="1"/>
  <c r="Q37" i="3"/>
  <c r="R37" i="3" s="1"/>
  <c r="S37" i="3" s="1"/>
  <c r="Q40" i="3"/>
  <c r="R40" i="3" s="1"/>
  <c r="S40" i="3" s="1"/>
  <c r="T40" i="3"/>
  <c r="U40" i="3" s="1"/>
  <c r="Q41" i="3"/>
  <c r="R41" i="3" s="1"/>
  <c r="I54" i="3"/>
  <c r="J54" i="3" s="1"/>
  <c r="I53" i="3"/>
  <c r="J53" i="3" s="1"/>
  <c r="I52" i="3"/>
  <c r="J52" i="3" s="1"/>
  <c r="T43" i="3"/>
  <c r="U43" i="3" s="1"/>
  <c r="Q43" i="3"/>
  <c r="R43" i="3" s="1"/>
  <c r="T42" i="3"/>
  <c r="U42" i="3" s="1"/>
  <c r="Q42" i="3"/>
  <c r="R42" i="3" s="1"/>
  <c r="T41" i="3"/>
  <c r="U41" i="3" s="1"/>
  <c r="C23" i="20"/>
  <c r="C22" i="20"/>
  <c r="D22" i="20" s="1"/>
  <c r="C19" i="20"/>
  <c r="D19" i="20" s="1"/>
  <c r="C18" i="20"/>
  <c r="D18" i="20" s="1"/>
  <c r="C10" i="20"/>
  <c r="C9" i="20"/>
  <c r="C8" i="20"/>
  <c r="C7" i="20"/>
  <c r="C6" i="20"/>
  <c r="C5" i="20"/>
  <c r="C4" i="20"/>
  <c r="D23" i="18"/>
  <c r="D22" i="18"/>
  <c r="E22" i="18" s="1"/>
  <c r="D20" i="18"/>
  <c r="E20" i="18" s="1"/>
  <c r="D19" i="18"/>
  <c r="E19" i="18" s="1"/>
  <c r="D18" i="18"/>
  <c r="E18" i="18" s="1"/>
  <c r="D10" i="18"/>
  <c r="D9" i="18"/>
  <c r="D8" i="18"/>
  <c r="D7" i="18"/>
  <c r="D6" i="18"/>
  <c r="D5" i="18"/>
  <c r="D4" i="18"/>
  <c r="D18" i="8"/>
  <c r="C19" i="8"/>
  <c r="D19" i="8" s="1"/>
  <c r="C20" i="8"/>
  <c r="D20" i="8" s="1"/>
  <c r="C18" i="8"/>
  <c r="T10" i="8"/>
  <c r="Q10" i="8"/>
  <c r="R10" i="8" s="1"/>
  <c r="S10" i="8" s="1"/>
  <c r="T9" i="8"/>
  <c r="Q9" i="8"/>
  <c r="R9" i="8" s="1"/>
  <c r="S9" i="8" s="1"/>
  <c r="T8" i="8"/>
  <c r="Q8" i="8"/>
  <c r="R8" i="8" s="1"/>
  <c r="S8" i="8" s="1"/>
  <c r="T7" i="8"/>
  <c r="Q7" i="8"/>
  <c r="R7" i="8" s="1"/>
  <c r="S7" i="8" s="1"/>
  <c r="D28" i="3"/>
  <c r="P24" i="3"/>
  <c r="Q24" i="3" s="1"/>
  <c r="P25" i="3"/>
  <c r="Q25" i="3" s="1"/>
  <c r="P27" i="3"/>
  <c r="Q27" i="3" s="1"/>
  <c r="P23" i="3"/>
  <c r="Q23" i="3" s="1"/>
  <c r="J24" i="3"/>
  <c r="K24" i="3" s="1"/>
  <c r="J25" i="3"/>
  <c r="K25" i="3" s="1"/>
  <c r="J27" i="3"/>
  <c r="K27" i="3" s="1"/>
  <c r="J23" i="3"/>
  <c r="K23" i="3" s="1"/>
  <c r="D24" i="3"/>
  <c r="E24" i="3" s="1"/>
  <c r="D25" i="3"/>
  <c r="E25" i="3" s="1"/>
  <c r="D27" i="3"/>
  <c r="E27" i="3" s="1"/>
  <c r="D23" i="3"/>
  <c r="E23" i="3" s="1"/>
  <c r="B27" i="3"/>
  <c r="B24" i="3"/>
  <c r="B25" i="3"/>
  <c r="B23" i="3"/>
  <c r="H27" i="3"/>
  <c r="N27" i="3"/>
  <c r="T6" i="3"/>
  <c r="T7" i="3"/>
  <c r="T8" i="3"/>
  <c r="T5" i="3"/>
  <c r="Q7" i="3"/>
  <c r="R7" i="3" s="1"/>
  <c r="S7" i="3" s="1"/>
  <c r="Q8" i="3"/>
  <c r="R8" i="3" s="1"/>
  <c r="S8" i="3" s="1"/>
  <c r="Q6" i="3"/>
  <c r="R6" i="3" s="1"/>
  <c r="S6" i="3" s="1"/>
  <c r="Q5" i="3"/>
  <c r="R5" i="3" s="1"/>
  <c r="S5" i="3" s="1"/>
  <c r="N24" i="3"/>
  <c r="N25" i="3"/>
  <c r="N23" i="3"/>
  <c r="N16" i="3"/>
  <c r="N17" i="3"/>
  <c r="N18" i="3"/>
  <c r="N15" i="3"/>
  <c r="H25" i="3"/>
  <c r="H24" i="3"/>
  <c r="H23" i="3"/>
  <c r="B16" i="3"/>
  <c r="B17" i="3"/>
  <c r="B18" i="3"/>
  <c r="B15" i="3"/>
  <c r="H16" i="3"/>
  <c r="H17" i="3"/>
  <c r="H18" i="3"/>
  <c r="H15" i="3"/>
  <c r="L15" i="1"/>
  <c r="L14" i="1"/>
  <c r="U6" i="3" l="1"/>
  <c r="U8" i="3"/>
  <c r="U7" i="3"/>
  <c r="S42" i="3"/>
  <c r="S41" i="3"/>
  <c r="S43" i="3"/>
</calcChain>
</file>

<file path=xl/sharedStrings.xml><?xml version="1.0" encoding="utf-8"?>
<sst xmlns="http://schemas.openxmlformats.org/spreadsheetml/2006/main" count="193" uniqueCount="74">
  <si>
    <t>전압</t>
    <phoneticPr fontId="1" type="noConversion"/>
  </si>
  <si>
    <t>무게</t>
    <phoneticPr fontId="1" type="noConversion"/>
  </si>
  <si>
    <t>계수</t>
  </si>
  <si>
    <t>측정결과</t>
    <phoneticPr fontId="1" type="noConversion"/>
  </si>
  <si>
    <t>1. 측정을 통한 결과</t>
    <phoneticPr fontId="1" type="noConversion"/>
  </si>
  <si>
    <t>3. 회귀분석공식을 통한 결과</t>
    <phoneticPr fontId="1" type="noConversion"/>
  </si>
  <si>
    <t>4. 그밖의 저항 선형성 테스트</t>
    <phoneticPr fontId="1" type="noConversion"/>
  </si>
  <si>
    <t>1. 측정을 통한 결과</t>
    <phoneticPr fontId="1" type="noConversion"/>
  </si>
  <si>
    <t>&lt;IQ Demodulator - In phase&gt;</t>
    <phoneticPr fontId="1" type="noConversion"/>
  </si>
  <si>
    <t>&lt;AC Rectifier Mode&gt;</t>
    <phoneticPr fontId="1" type="noConversion"/>
  </si>
  <si>
    <t>&lt;IQ Demodulator - Quadrature phase&gt;</t>
    <phoneticPr fontId="1" type="noConversion"/>
  </si>
  <si>
    <t>K값</t>
    <phoneticPr fontId="1" type="noConversion"/>
  </si>
  <si>
    <t>Q/I</t>
    <phoneticPr fontId="1" type="noConversion"/>
  </si>
  <si>
    <r>
      <t>저항[k</t>
    </r>
    <r>
      <rPr>
        <sz val="11"/>
        <color theme="1"/>
        <rFont val="맑은 고딕"/>
        <family val="3"/>
        <charset val="129"/>
      </rPr>
      <t>Ω</t>
    </r>
    <r>
      <rPr>
        <sz val="11"/>
        <color theme="1"/>
        <rFont val="맑은 고딕"/>
        <family val="2"/>
        <charset val="129"/>
      </rPr>
      <t>]</t>
    </r>
    <phoneticPr fontId="1" type="noConversion"/>
  </si>
  <si>
    <t>저항[kΩ]</t>
    <phoneticPr fontId="1" type="noConversion"/>
  </si>
  <si>
    <t>저항[kΩ]</t>
    <phoneticPr fontId="1" type="noConversion"/>
  </si>
  <si>
    <t>저항[kΩ]</t>
    <phoneticPr fontId="1" type="noConversion"/>
  </si>
  <si>
    <t>저항[kΩ]</t>
    <phoneticPr fontId="1" type="noConversion"/>
  </si>
  <si>
    <t>측정 전압[mV]</t>
    <phoneticPr fontId="1" type="noConversion"/>
  </si>
  <si>
    <t>측정 전압[mV]</t>
    <phoneticPr fontId="1" type="noConversion"/>
  </si>
  <si>
    <t>측정 전압[mV]</t>
    <phoneticPr fontId="1" type="noConversion"/>
  </si>
  <si>
    <t>측전 전압[mV]</t>
    <phoneticPr fontId="1" type="noConversion"/>
  </si>
  <si>
    <t>측전 전압[mV]</t>
    <phoneticPr fontId="1" type="noConversion"/>
  </si>
  <si>
    <t>측전 전압[mV]</t>
    <phoneticPr fontId="1" type="noConversion"/>
  </si>
  <si>
    <t>2. 회귀분석 공식 y=ax+b</t>
    <phoneticPr fontId="1" type="noConversion"/>
  </si>
  <si>
    <t>Y 절편(=b)</t>
    <phoneticPr fontId="1" type="noConversion"/>
  </si>
  <si>
    <t>X 1(=a)</t>
    <phoneticPr fontId="1" type="noConversion"/>
  </si>
  <si>
    <t>X 1(=a)</t>
    <phoneticPr fontId="1" type="noConversion"/>
  </si>
  <si>
    <t>저항 [kΩ]</t>
    <phoneticPr fontId="1" type="noConversion"/>
  </si>
  <si>
    <t>회귀식을 통한결과</t>
    <phoneticPr fontId="1" type="noConversion"/>
  </si>
  <si>
    <t>회귀식을 통한결과</t>
    <phoneticPr fontId="1" type="noConversion"/>
  </si>
  <si>
    <t>나</t>
    <phoneticPr fontId="1" type="noConversion"/>
  </si>
  <si>
    <t>계산저항</t>
    <phoneticPr fontId="1" type="noConversion"/>
  </si>
  <si>
    <t>계산저항</t>
    <phoneticPr fontId="1" type="noConversion"/>
  </si>
  <si>
    <t>계산저항</t>
    <phoneticPr fontId="1" type="noConversion"/>
  </si>
  <si>
    <t>저항오차</t>
    <phoneticPr fontId="1" type="noConversion"/>
  </si>
  <si>
    <t>242옴</t>
    <phoneticPr fontId="1" type="noConversion"/>
  </si>
  <si>
    <t>나</t>
    <phoneticPr fontId="1" type="noConversion"/>
  </si>
  <si>
    <t>측정 전압[mV]</t>
    <phoneticPr fontId="1" type="noConversion"/>
  </si>
  <si>
    <t>3. 그밖의 저항 선형성 테스트</t>
    <phoneticPr fontId="1" type="noConversion"/>
  </si>
  <si>
    <t>3. 그밖의 저항 선형성 테스트</t>
    <phoneticPr fontId="1" type="noConversion"/>
  </si>
  <si>
    <t>2차 시도</t>
    <phoneticPr fontId="1" type="noConversion"/>
  </si>
  <si>
    <t>1차 시도</t>
    <phoneticPr fontId="1" type="noConversion"/>
  </si>
  <si>
    <t>1k,1.5k제외</t>
    <phoneticPr fontId="1" type="noConversion"/>
  </si>
  <si>
    <t>위상값</t>
    <phoneticPr fontId="1" type="noConversion"/>
  </si>
  <si>
    <t>I^2+Q^2</t>
    <phoneticPr fontId="1" type="noConversion"/>
  </si>
  <si>
    <t>측정전압/저항</t>
    <phoneticPr fontId="1" type="noConversion"/>
  </si>
  <si>
    <t>저항</t>
    <phoneticPr fontId="1" type="noConversion"/>
  </si>
  <si>
    <t>전압</t>
    <phoneticPr fontId="1" type="noConversion"/>
  </si>
  <si>
    <t xml:space="preserve">나 : </t>
    <phoneticPr fontId="1" type="noConversion"/>
  </si>
  <si>
    <t>4. 다이얼 공식</t>
    <phoneticPr fontId="1" type="noConversion"/>
  </si>
  <si>
    <t>저항[kΩ]</t>
    <phoneticPr fontId="1" type="noConversion"/>
  </si>
  <si>
    <t>계산저항[kΩ]</t>
    <phoneticPr fontId="1" type="noConversion"/>
  </si>
  <si>
    <t>R</t>
    <phoneticPr fontId="1" type="noConversion"/>
  </si>
  <si>
    <t>V</t>
    <phoneticPr fontId="1" type="noConversion"/>
  </si>
  <si>
    <t>인체저항</t>
    <phoneticPr fontId="1" type="noConversion"/>
  </si>
  <si>
    <t>20kHz</t>
    <phoneticPr fontId="1" type="noConversion"/>
  </si>
  <si>
    <t xml:space="preserve">64kHz - I mode </t>
    <phoneticPr fontId="1" type="noConversion"/>
  </si>
  <si>
    <t>64kHz - Q mode</t>
    <phoneticPr fontId="1" type="noConversion"/>
  </si>
  <si>
    <t>k</t>
    <phoneticPr fontId="1" type="noConversion"/>
  </si>
  <si>
    <t>세타</t>
    <phoneticPr fontId="1" type="noConversion"/>
  </si>
  <si>
    <t>인체저항2</t>
    <phoneticPr fontId="1" type="noConversion"/>
  </si>
  <si>
    <t>결과값</t>
    <phoneticPr fontId="1" type="noConversion"/>
  </si>
  <si>
    <t>BSM370</t>
    <phoneticPr fontId="1" type="noConversion"/>
  </si>
  <si>
    <t>R참값</t>
    <phoneticPr fontId="1" type="noConversion"/>
  </si>
  <si>
    <t>100kHz</t>
    <phoneticPr fontId="1" type="noConversion"/>
  </si>
  <si>
    <t>인체저항2</t>
    <phoneticPr fontId="1" type="noConversion"/>
  </si>
  <si>
    <t>formula</t>
    <phoneticPr fontId="1" type="noConversion"/>
  </si>
  <si>
    <t>결과값</t>
    <phoneticPr fontId="1" type="noConversion"/>
  </si>
  <si>
    <t>formula</t>
    <phoneticPr fontId="1" type="noConversion"/>
  </si>
  <si>
    <t>Human impedance model</t>
    <phoneticPr fontId="1" type="noConversion"/>
  </si>
  <si>
    <t>Real resistor [ohm]</t>
    <phoneticPr fontId="1" type="noConversion"/>
  </si>
  <si>
    <t>Resistor[ohm]</t>
    <phoneticPr fontId="1" type="noConversion"/>
  </si>
  <si>
    <t>Impedance conversion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</si>
</sst>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Fill="1" applyBorder="1" applyAlignment="1">
      <alignment vertical="center"/>
    </xf>
    <xf numFmtId="0" fontId="0" fillId="3" borderId="4" xfId="0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0" fillId="0" borderId="7" xfId="0" applyFill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4" fillId="0" borderId="13" xfId="0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2" xfId="0" applyBorder="1">
      <alignment vertical="center"/>
    </xf>
    <xf numFmtId="0" fontId="0" fillId="0" borderId="21" xfId="0" applyBorder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L26"/>
  <sheetViews>
    <sheetView workbookViewId="0">
      <selection activeCell="K21" sqref="K21"/>
    </sheetView>
  </sheetViews>
  <sheetFormatPr defaultRowHeight="16.5" x14ac:dyDescent="0.3"/>
  <cols>
    <col min="10" max="10" width="13.125" bestFit="1" customWidth="1"/>
    <col min="12" max="12" width="34.5" customWidth="1"/>
  </cols>
  <sheetData>
    <row r="6" spans="4:12" x14ac:dyDescent="0.3">
      <c r="G6" t="s">
        <v>1</v>
      </c>
      <c r="H6" t="s">
        <v>0</v>
      </c>
    </row>
    <row r="7" spans="4:12" x14ac:dyDescent="0.3">
      <c r="D7">
        <v>0</v>
      </c>
      <c r="E7">
        <v>-3.04</v>
      </c>
      <c r="G7">
        <v>0</v>
      </c>
      <c r="I7">
        <v>-3.07</v>
      </c>
    </row>
    <row r="8" spans="4:12" x14ac:dyDescent="0.3">
      <c r="D8">
        <v>10</v>
      </c>
      <c r="E8">
        <v>-26.76</v>
      </c>
      <c r="G8">
        <v>20</v>
      </c>
      <c r="I8">
        <v>-50.64</v>
      </c>
    </row>
    <row r="9" spans="4:12" x14ac:dyDescent="0.3">
      <c r="D9">
        <v>20</v>
      </c>
      <c r="E9">
        <v>-50.43</v>
      </c>
      <c r="G9">
        <v>40</v>
      </c>
      <c r="I9">
        <v>-98.42</v>
      </c>
    </row>
    <row r="10" spans="4:12" x14ac:dyDescent="0.3">
      <c r="D10">
        <v>30</v>
      </c>
      <c r="E10">
        <v>-74.41</v>
      </c>
    </row>
    <row r="11" spans="4:12" x14ac:dyDescent="0.3">
      <c r="D11">
        <v>40</v>
      </c>
      <c r="E11">
        <v>-98.4</v>
      </c>
    </row>
    <row r="14" spans="4:12" x14ac:dyDescent="0.3">
      <c r="G14">
        <v>60</v>
      </c>
      <c r="H14">
        <v>-146.19999999999999</v>
      </c>
      <c r="I14">
        <f>($G$9-$G$8)/($I$9-$I$8)*(H14-$I$9)+$G$9</f>
        <v>59.999999999999993</v>
      </c>
      <c r="J14">
        <f>(G14-I14)/I14*100</f>
        <v>1.1842378929335005E-14</v>
      </c>
      <c r="L14">
        <f>-2.94333-2.384*D8</f>
        <v>-26.783329999999999</v>
      </c>
    </row>
    <row r="15" spans="4:12" x14ac:dyDescent="0.3">
      <c r="G15">
        <v>80</v>
      </c>
      <c r="H15">
        <v>-193.97</v>
      </c>
      <c r="I15">
        <f>($G$9-$G$8)/($I$9-$I$8)*(H15-$I$9)+$G$9</f>
        <v>79.99581414817915</v>
      </c>
      <c r="J15">
        <f t="shared" ref="J15:J26" si="0">(G15-I15)/I15*100</f>
        <v>5.2325885615669299E-3</v>
      </c>
      <c r="L15">
        <f>-2.94333-2.384*D10</f>
        <v>-74.463329999999999</v>
      </c>
    </row>
    <row r="16" spans="4:12" x14ac:dyDescent="0.3">
      <c r="G16">
        <v>100</v>
      </c>
      <c r="H16">
        <v>-241.81</v>
      </c>
      <c r="I16">
        <f>($G$9-$G$8)/($I$9-$I$8)*(H16-$I$9)+$G$9</f>
        <v>100.02092925910422</v>
      </c>
      <c r="J16">
        <f t="shared" si="0"/>
        <v>-2.0924879681935508E-2</v>
      </c>
    </row>
    <row r="17" spans="7:10" x14ac:dyDescent="0.3">
      <c r="G17">
        <v>120</v>
      </c>
      <c r="H17">
        <v>-289.61</v>
      </c>
      <c r="I17">
        <f t="shared" ref="I17:I26" si="1">($G$9-$G$8)/($I$9-$I$8)*(H17-$I$9)+$G$9</f>
        <v>120.02930096274592</v>
      </c>
      <c r="J17">
        <f t="shared" si="0"/>
        <v>-2.4411508282478119E-2</v>
      </c>
    </row>
    <row r="18" spans="7:10" x14ac:dyDescent="0.3">
      <c r="G18">
        <v>140</v>
      </c>
      <c r="H18">
        <v>-337.43</v>
      </c>
      <c r="I18">
        <f t="shared" si="1"/>
        <v>140.04604437002928</v>
      </c>
      <c r="J18">
        <f t="shared" si="0"/>
        <v>-3.2878022536373973E-2</v>
      </c>
    </row>
    <row r="19" spans="7:10" x14ac:dyDescent="0.3">
      <c r="G19">
        <v>160</v>
      </c>
      <c r="H19">
        <v>-385.28</v>
      </c>
      <c r="I19">
        <f t="shared" si="1"/>
        <v>160.07534533277521</v>
      </c>
      <c r="J19">
        <f t="shared" si="0"/>
        <v>-4.7068667956693261E-2</v>
      </c>
    </row>
    <row r="20" spans="7:10" x14ac:dyDescent="0.3">
      <c r="G20">
        <v>180</v>
      </c>
      <c r="H20">
        <v>-433.01</v>
      </c>
      <c r="I20">
        <f t="shared" si="1"/>
        <v>180.05441607367098</v>
      </c>
      <c r="J20">
        <f t="shared" si="0"/>
        <v>-3.0222015575954324E-2</v>
      </c>
    </row>
    <row r="21" spans="7:10" x14ac:dyDescent="0.3">
      <c r="G21">
        <v>200</v>
      </c>
      <c r="H21">
        <v>-480.79</v>
      </c>
      <c r="I21">
        <f t="shared" si="1"/>
        <v>200.05441607367098</v>
      </c>
      <c r="J21">
        <f t="shared" si="0"/>
        <v>-2.7200636076406069E-2</v>
      </c>
    </row>
    <row r="22" spans="7:10" x14ac:dyDescent="0.3">
      <c r="G22">
        <v>220</v>
      </c>
      <c r="H22">
        <v>-528.64</v>
      </c>
      <c r="I22">
        <f t="shared" si="1"/>
        <v>220.08371703641689</v>
      </c>
      <c r="J22">
        <f t="shared" si="0"/>
        <v>-3.8038723420430527E-2</v>
      </c>
    </row>
    <row r="23" spans="7:10" x14ac:dyDescent="0.3">
      <c r="G23">
        <v>240</v>
      </c>
      <c r="H23">
        <v>-576.38</v>
      </c>
      <c r="I23">
        <f t="shared" si="1"/>
        <v>240.06697362913351</v>
      </c>
      <c r="J23">
        <f t="shared" si="0"/>
        <v>-2.7897893709018913E-2</v>
      </c>
    </row>
    <row r="24" spans="7:10" x14ac:dyDescent="0.3">
      <c r="G24">
        <v>260</v>
      </c>
      <c r="H24">
        <v>-624.08000000000004</v>
      </c>
      <c r="I24">
        <f t="shared" si="1"/>
        <v>260.0334868145668</v>
      </c>
      <c r="J24">
        <f t="shared" si="0"/>
        <v>-1.2877885451222508E-2</v>
      </c>
    </row>
    <row r="25" spans="7:10" x14ac:dyDescent="0.3">
      <c r="G25">
        <v>280</v>
      </c>
      <c r="H25">
        <v>-671.84</v>
      </c>
      <c r="I25">
        <f t="shared" si="1"/>
        <v>280.02511511092507</v>
      </c>
      <c r="J25">
        <f t="shared" si="0"/>
        <v>-8.9688779933623508E-3</v>
      </c>
    </row>
    <row r="26" spans="7:10" x14ac:dyDescent="0.3">
      <c r="G26">
        <v>300</v>
      </c>
      <c r="H26">
        <v>-719.59</v>
      </c>
      <c r="I26">
        <f t="shared" si="1"/>
        <v>300.01255755546254</v>
      </c>
      <c r="J26">
        <f t="shared" si="0"/>
        <v>-4.1856766146244366E-3</v>
      </c>
    </row>
  </sheetData>
  <dataConsolidate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topLeftCell="A28" zoomScale="85" zoomScaleNormal="85" workbookViewId="0">
      <selection activeCell="H42" sqref="H42"/>
    </sheetView>
  </sheetViews>
  <sheetFormatPr defaultRowHeight="16.5" x14ac:dyDescent="0.3"/>
  <cols>
    <col min="1" max="1" width="9.875" customWidth="1"/>
    <col min="2" max="2" width="17.625" customWidth="1"/>
    <col min="5" max="5" width="8.25" customWidth="1"/>
    <col min="6" max="6" width="11.75" customWidth="1"/>
    <col min="7" max="7" width="9.5" customWidth="1"/>
    <col min="8" max="8" width="36.875" customWidth="1"/>
    <col min="11" max="12" width="15.625" customWidth="1"/>
    <col min="13" max="13" width="9.875" customWidth="1"/>
    <col min="14" max="14" width="41.375" customWidth="1"/>
  </cols>
  <sheetData>
    <row r="1" spans="1:32" ht="27" thickBot="1" x14ac:dyDescent="0.35">
      <c r="A1" s="41" t="s">
        <v>42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3"/>
      <c r="Q1" s="41" t="s">
        <v>41</v>
      </c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3"/>
    </row>
    <row r="2" spans="1:32" ht="26.25" x14ac:dyDescent="0.3">
      <c r="A2" s="40" t="s">
        <v>9</v>
      </c>
      <c r="B2" s="40"/>
      <c r="E2" s="9"/>
      <c r="F2" s="9"/>
      <c r="G2" s="40" t="s">
        <v>8</v>
      </c>
      <c r="H2" s="40"/>
      <c r="I2" s="9"/>
      <c r="J2" s="9"/>
      <c r="M2" s="40" t="s">
        <v>10</v>
      </c>
      <c r="N2" s="40"/>
    </row>
    <row r="3" spans="1:32" x14ac:dyDescent="0.3">
      <c r="A3" s="8" t="s">
        <v>4</v>
      </c>
      <c r="B3" s="8"/>
      <c r="G3" s="38" t="s">
        <v>7</v>
      </c>
      <c r="H3" s="38"/>
      <c r="M3" s="38" t="s">
        <v>7</v>
      </c>
      <c r="N3" s="38"/>
    </row>
    <row r="4" spans="1:32" x14ac:dyDescent="0.3">
      <c r="A4" s="5" t="s">
        <v>13</v>
      </c>
      <c r="B4" s="5" t="s">
        <v>18</v>
      </c>
      <c r="G4" s="5" t="s">
        <v>14</v>
      </c>
      <c r="H4" s="5" t="s">
        <v>19</v>
      </c>
      <c r="M4" s="5" t="s">
        <v>15</v>
      </c>
      <c r="N4" s="5" t="s">
        <v>19</v>
      </c>
      <c r="S4" t="s">
        <v>11</v>
      </c>
      <c r="T4" t="s">
        <v>12</v>
      </c>
    </row>
    <row r="5" spans="1:32" x14ac:dyDescent="0.3">
      <c r="A5" s="5">
        <v>0.60699999999999998</v>
      </c>
      <c r="B5" s="5">
        <v>424.73</v>
      </c>
      <c r="G5" s="5">
        <v>0.60699999999999998</v>
      </c>
      <c r="H5" s="5">
        <v>359.17</v>
      </c>
      <c r="M5" s="5">
        <v>0.60699999999999998</v>
      </c>
      <c r="N5" s="5">
        <v>-235.15</v>
      </c>
      <c r="Q5">
        <f>H5*H5+N5*N5</f>
        <v>184298.61140000002</v>
      </c>
      <c r="R5">
        <f>SQRT(Q5)</f>
        <v>429.30014139294201</v>
      </c>
      <c r="S5">
        <f>R5/M5</f>
        <v>707.24899735245799</v>
      </c>
      <c r="T5">
        <f>N5/H5</f>
        <v>-0.65470390065985462</v>
      </c>
    </row>
    <row r="6" spans="1:32" x14ac:dyDescent="0.3">
      <c r="A6" s="5">
        <v>0.749</v>
      </c>
      <c r="B6" s="5">
        <v>519.91</v>
      </c>
      <c r="G6" s="5">
        <v>0.749</v>
      </c>
      <c r="H6" s="5">
        <v>437.16</v>
      </c>
      <c r="M6" s="5">
        <v>0.749</v>
      </c>
      <c r="N6" s="5">
        <v>-287.33999999999997</v>
      </c>
      <c r="Q6">
        <f>H6*H6+N6*N6</f>
        <v>273673.14120000001</v>
      </c>
      <c r="R6">
        <f>SQRT(Q6)</f>
        <v>523.13778414486558</v>
      </c>
      <c r="S6">
        <f>R6/M6</f>
        <v>698.4483099397404</v>
      </c>
      <c r="T6">
        <f>N6/H6</f>
        <v>-0.65728794949217673</v>
      </c>
      <c r="U6">
        <f>R6/$S$5</f>
        <v>0.73967978194836459</v>
      </c>
    </row>
    <row r="7" spans="1:32" x14ac:dyDescent="0.3">
      <c r="A7" s="5">
        <v>1.002</v>
      </c>
      <c r="B7" s="5">
        <v>686.21</v>
      </c>
      <c r="G7" s="5">
        <v>1.002</v>
      </c>
      <c r="H7" s="5">
        <v>580.17999999999995</v>
      </c>
      <c r="M7" s="5">
        <v>1.002</v>
      </c>
      <c r="N7" s="5">
        <v>-385.46</v>
      </c>
      <c r="Q7">
        <f>H7*H7+N7*N7</f>
        <v>485188.24399999995</v>
      </c>
      <c r="R7">
        <f t="shared" ref="R7:R8" si="0">SQRT(Q7)</f>
        <v>696.55455206322495</v>
      </c>
      <c r="S7">
        <f t="shared" ref="S7:S8" si="1">R7/M7</f>
        <v>695.16422361599291</v>
      </c>
      <c r="T7">
        <f>N7/H7</f>
        <v>-0.66438001999379503</v>
      </c>
      <c r="U7">
        <f t="shared" ref="U7:U8" si="2">R7/$S$5</f>
        <v>0.98487881166425539</v>
      </c>
    </row>
    <row r="8" spans="1:32" x14ac:dyDescent="0.3">
      <c r="A8" s="5">
        <v>1.498</v>
      </c>
      <c r="B8" s="5">
        <v>1020</v>
      </c>
      <c r="G8" s="5">
        <v>1.498</v>
      </c>
      <c r="H8" s="5">
        <v>855.15</v>
      </c>
      <c r="M8" s="5">
        <v>1.498</v>
      </c>
      <c r="N8" s="5">
        <v>-572.47</v>
      </c>
      <c r="Q8">
        <f>H8*H8+N8*N8</f>
        <v>1059003.4234</v>
      </c>
      <c r="R8">
        <f t="shared" si="0"/>
        <v>1029.0789199084782</v>
      </c>
      <c r="S8">
        <f t="shared" si="1"/>
        <v>686.96857136747542</v>
      </c>
      <c r="T8">
        <f>N8/H8</f>
        <v>-0.66943811027305156</v>
      </c>
      <c r="U8">
        <f t="shared" si="2"/>
        <v>1.4550447208278416</v>
      </c>
    </row>
    <row r="9" spans="1:32" ht="17.25" thickBot="1" x14ac:dyDescent="0.35">
      <c r="A9" s="44" t="s">
        <v>24</v>
      </c>
      <c r="B9" s="44"/>
      <c r="G9" s="44" t="s">
        <v>24</v>
      </c>
      <c r="H9" s="44"/>
      <c r="M9" s="44" t="s">
        <v>24</v>
      </c>
      <c r="N9" s="44"/>
    </row>
    <row r="10" spans="1:32" x14ac:dyDescent="0.3">
      <c r="A10" s="3"/>
      <c r="B10" s="3" t="s">
        <v>2</v>
      </c>
      <c r="G10" s="10"/>
      <c r="H10" s="10" t="s">
        <v>2</v>
      </c>
      <c r="M10" s="3"/>
      <c r="N10" s="3" t="s">
        <v>2</v>
      </c>
    </row>
    <row r="11" spans="1:32" x14ac:dyDescent="0.3">
      <c r="A11" s="6" t="s">
        <v>25</v>
      </c>
      <c r="B11" s="6">
        <v>19.004104392166369</v>
      </c>
      <c r="G11" s="6" t="s">
        <v>25</v>
      </c>
      <c r="H11" s="6">
        <v>20.734035183390802</v>
      </c>
      <c r="M11" s="6" t="s">
        <v>25</v>
      </c>
      <c r="N11" s="6">
        <v>-4.3804601824131169</v>
      </c>
    </row>
    <row r="12" spans="1:32" x14ac:dyDescent="0.3">
      <c r="A12" s="6" t="s">
        <v>26</v>
      </c>
      <c r="B12" s="6">
        <v>667.74729834837512</v>
      </c>
      <c r="G12" s="6" t="s">
        <v>27</v>
      </c>
      <c r="H12" s="6">
        <v>557.24166474751985</v>
      </c>
      <c r="M12" s="6" t="s">
        <v>26</v>
      </c>
      <c r="N12" s="6">
        <v>-379.38230271533911</v>
      </c>
    </row>
    <row r="13" spans="1:32" x14ac:dyDescent="0.3">
      <c r="A13" s="45" t="s">
        <v>5</v>
      </c>
      <c r="B13" s="45"/>
      <c r="G13" s="45" t="s">
        <v>5</v>
      </c>
      <c r="H13" s="45"/>
      <c r="M13" s="45" t="s">
        <v>5</v>
      </c>
      <c r="N13" s="45"/>
    </row>
    <row r="14" spans="1:32" x14ac:dyDescent="0.3">
      <c r="A14" s="7" t="s">
        <v>15</v>
      </c>
      <c r="B14" s="7" t="s">
        <v>20</v>
      </c>
      <c r="G14" s="7" t="s">
        <v>15</v>
      </c>
      <c r="H14" s="7" t="s">
        <v>18</v>
      </c>
      <c r="M14" s="7" t="s">
        <v>16</v>
      </c>
      <c r="N14" s="7" t="s">
        <v>19</v>
      </c>
    </row>
    <row r="15" spans="1:32" x14ac:dyDescent="0.3">
      <c r="A15" s="5">
        <v>0.60699999999999998</v>
      </c>
      <c r="B15" s="5">
        <f>$B$11+A15*$B$12</f>
        <v>424.32671448963004</v>
      </c>
      <c r="G15" s="5">
        <v>0.60699999999999998</v>
      </c>
      <c r="H15" s="5">
        <f>$H$11+$H$12*G15</f>
        <v>358.97972568513535</v>
      </c>
      <c r="M15" s="5">
        <v>0.60699999999999998</v>
      </c>
      <c r="N15" s="5">
        <f>$N$11+$N$12*M15</f>
        <v>-234.66551793062396</v>
      </c>
    </row>
    <row r="16" spans="1:32" x14ac:dyDescent="0.3">
      <c r="A16" s="5">
        <v>0.749</v>
      </c>
      <c r="B16" s="5">
        <f t="shared" ref="B16:B18" si="3">$B$11+A16*$B$12</f>
        <v>519.14683085509932</v>
      </c>
      <c r="G16" s="5">
        <v>0.749</v>
      </c>
      <c r="H16" s="5">
        <f t="shared" ref="H16:H18" si="4">$H$11+$H$12*G16</f>
        <v>438.10804207928317</v>
      </c>
      <c r="M16" s="5">
        <v>0.749</v>
      </c>
      <c r="N16" s="5">
        <f t="shared" ref="N16:N18" si="5">$N$11+$N$12*M16</f>
        <v>-288.53780491620211</v>
      </c>
    </row>
    <row r="17" spans="1:17" x14ac:dyDescent="0.3">
      <c r="A17" s="5">
        <v>1.002</v>
      </c>
      <c r="B17" s="5">
        <f t="shared" si="3"/>
        <v>688.08689733723827</v>
      </c>
      <c r="G17" s="5">
        <v>1.002</v>
      </c>
      <c r="H17" s="5">
        <f t="shared" si="4"/>
        <v>579.09018326040564</v>
      </c>
      <c r="M17" s="5">
        <v>1.002</v>
      </c>
      <c r="N17" s="5">
        <f t="shared" si="5"/>
        <v>-384.52152750318288</v>
      </c>
    </row>
    <row r="18" spans="1:17" x14ac:dyDescent="0.3">
      <c r="A18" s="5">
        <v>1.498</v>
      </c>
      <c r="B18" s="5">
        <f t="shared" si="3"/>
        <v>1019.2895573180323</v>
      </c>
      <c r="G18" s="5">
        <v>1.498</v>
      </c>
      <c r="H18" s="5">
        <f t="shared" si="4"/>
        <v>855.48204897517553</v>
      </c>
      <c r="M18" s="5">
        <v>1.498</v>
      </c>
      <c r="N18" s="5">
        <f t="shared" si="5"/>
        <v>-572.69514964999109</v>
      </c>
    </row>
    <row r="20" spans="1:17" x14ac:dyDescent="0.3">
      <c r="A20" s="38" t="s">
        <v>6</v>
      </c>
      <c r="B20" s="38"/>
      <c r="G20" s="38" t="s">
        <v>6</v>
      </c>
      <c r="H20" s="38"/>
      <c r="M20" s="38" t="s">
        <v>6</v>
      </c>
      <c r="N20" s="38"/>
    </row>
    <row r="21" spans="1:17" x14ac:dyDescent="0.3">
      <c r="A21" s="7" t="s">
        <v>17</v>
      </c>
      <c r="B21" s="36" t="s">
        <v>21</v>
      </c>
      <c r="C21" s="37"/>
      <c r="D21" t="s">
        <v>32</v>
      </c>
      <c r="E21" t="s">
        <v>35</v>
      </c>
      <c r="G21" s="7" t="s">
        <v>28</v>
      </c>
      <c r="H21" s="39" t="s">
        <v>22</v>
      </c>
      <c r="I21" s="39"/>
      <c r="J21" s="4" t="s">
        <v>33</v>
      </c>
      <c r="K21" t="s">
        <v>35</v>
      </c>
      <c r="M21" s="7" t="s">
        <v>15</v>
      </c>
      <c r="N21" s="39" t="s">
        <v>23</v>
      </c>
      <c r="O21" s="39"/>
      <c r="Q21" t="s">
        <v>35</v>
      </c>
    </row>
    <row r="22" spans="1:17" x14ac:dyDescent="0.3">
      <c r="A22" s="5"/>
      <c r="B22" s="5" t="s">
        <v>30</v>
      </c>
      <c r="C22" s="5" t="s">
        <v>3</v>
      </c>
      <c r="G22" s="5"/>
      <c r="H22" s="5" t="s">
        <v>30</v>
      </c>
      <c r="I22" s="5" t="s">
        <v>3</v>
      </c>
      <c r="J22" s="11"/>
      <c r="M22" s="5"/>
      <c r="N22" s="5" t="s">
        <v>29</v>
      </c>
      <c r="O22" s="5" t="s">
        <v>3</v>
      </c>
      <c r="P22" t="s">
        <v>34</v>
      </c>
    </row>
    <row r="23" spans="1:17" x14ac:dyDescent="0.3">
      <c r="A23" s="5">
        <v>0.21540000000000001</v>
      </c>
      <c r="B23" s="5">
        <f>$B$11+$B$12*A23</f>
        <v>162.83687245640638</v>
      </c>
      <c r="C23" s="5">
        <v>154.06</v>
      </c>
      <c r="D23">
        <f>(C23-$B$11)/$B$12</f>
        <v>0.20225599705440167</v>
      </c>
      <c r="E23">
        <f>(A23-D23)/D23*100</f>
        <v>6.4986962745351571</v>
      </c>
      <c r="G23" s="5">
        <v>0.21540000000000001</v>
      </c>
      <c r="H23" s="5">
        <f t="shared" ref="H23:H27" si="6">$H$11+$H$12*G23</f>
        <v>140.76388977000659</v>
      </c>
      <c r="I23" s="5">
        <v>133.16999999999999</v>
      </c>
      <c r="J23" s="11">
        <f>(I23-$H$11)/$H$12</f>
        <v>0.20177235825959408</v>
      </c>
      <c r="K23">
        <f>(G23-J23)/J23*100</f>
        <v>6.7539686099485561</v>
      </c>
      <c r="M23" s="5">
        <v>0.21540000000000001</v>
      </c>
      <c r="N23" s="5">
        <f t="shared" ref="N23:N27" si="7">$N$11+$N$12*M23</f>
        <v>-86.099408187297158</v>
      </c>
      <c r="O23" s="5">
        <v>-82.97</v>
      </c>
      <c r="P23">
        <f>(O23-$N$11)/$N$12</f>
        <v>0.20715130688780378</v>
      </c>
      <c r="Q23">
        <f>(M23-P23)/P23*100</f>
        <v>3.981965277517578</v>
      </c>
    </row>
    <row r="24" spans="1:17" x14ac:dyDescent="0.3">
      <c r="A24" s="5">
        <v>0.33539999999999998</v>
      </c>
      <c r="B24" s="5">
        <f t="shared" ref="B24:B27" si="8">$B$11+$B$12*A24</f>
        <v>242.96654825821136</v>
      </c>
      <c r="C24" s="5">
        <v>237.26</v>
      </c>
      <c r="D24">
        <f>(C24-$B$11)/$B$12</f>
        <v>0.32685403018128845</v>
      </c>
      <c r="E24">
        <f>(A24-D24)/D24*100</f>
        <v>2.6146135673993487</v>
      </c>
      <c r="G24" s="5">
        <v>0.33539999999999998</v>
      </c>
      <c r="H24" s="5">
        <f t="shared" si="6"/>
        <v>207.63288953970894</v>
      </c>
      <c r="I24" s="5">
        <v>203.53</v>
      </c>
      <c r="J24" s="11">
        <f>(I24-$H$11)/$H$12</f>
        <v>0.32803714506780834</v>
      </c>
      <c r="K24">
        <f>(G24-J24)/J24*100</f>
        <v>2.2445186598211797</v>
      </c>
      <c r="M24" s="5">
        <v>0.33539999999999998</v>
      </c>
      <c r="N24" s="5">
        <f t="shared" si="7"/>
        <v>-131.62528451313784</v>
      </c>
      <c r="O24" s="5">
        <v>-130.38999999999999</v>
      </c>
      <c r="P24">
        <f>(O24-$N$11)/$N$12</f>
        <v>0.33214395852337703</v>
      </c>
      <c r="Q24">
        <f t="shared" ref="Q24:Q27" si="9">(M24-P24)/P24*100</f>
        <v>0.98031031216055764</v>
      </c>
    </row>
    <row r="25" spans="1:17" x14ac:dyDescent="0.3">
      <c r="A25" s="5">
        <v>0.60099999999999998</v>
      </c>
      <c r="B25" s="5">
        <f t="shared" si="8"/>
        <v>420.32023069953982</v>
      </c>
      <c r="C25" s="5">
        <v>420.22</v>
      </c>
      <c r="D25">
        <f>(C25-$B$11)/$B$12</f>
        <v>0.60084989725935589</v>
      </c>
      <c r="E25">
        <f>(A25-D25)/D25*100</f>
        <v>2.498173692443777E-2</v>
      </c>
      <c r="G25" s="5">
        <v>0.60099999999999998</v>
      </c>
      <c r="H25" s="5">
        <f t="shared" si="6"/>
        <v>355.63627569665022</v>
      </c>
      <c r="I25" s="5">
        <v>355.56</v>
      </c>
      <c r="J25" s="11">
        <f>(I25-$H$11)/$H$12</f>
        <v>0.60086311917884894</v>
      </c>
      <c r="K25">
        <f>(G25-J25)/J25*100</f>
        <v>2.2780699427534495E-2</v>
      </c>
      <c r="M25" s="5">
        <v>0.60099999999999998</v>
      </c>
      <c r="N25" s="5">
        <f t="shared" si="7"/>
        <v>-232.38922411433191</v>
      </c>
      <c r="O25" s="5">
        <v>-232.36</v>
      </c>
      <c r="P25">
        <f>(O25-$N$11)/$N$12</f>
        <v>0.60092296922096067</v>
      </c>
      <c r="Q25">
        <f t="shared" si="9"/>
        <v>1.2818744329106617E-2</v>
      </c>
    </row>
    <row r="26" spans="1:17" x14ac:dyDescent="0.3">
      <c r="J26" s="11"/>
    </row>
    <row r="27" spans="1:17" x14ac:dyDescent="0.3">
      <c r="A27" s="5">
        <v>2.4169999999999998</v>
      </c>
      <c r="B27" s="5">
        <f t="shared" si="8"/>
        <v>1632.9493245001891</v>
      </c>
      <c r="C27" s="5">
        <v>1590</v>
      </c>
      <c r="D27">
        <f>(C27-$B$11)/$B$12</f>
        <v>2.3526802721532216</v>
      </c>
      <c r="E27">
        <f>(A27-D27)/D27*100</f>
        <v>2.7338915792374734</v>
      </c>
      <c r="G27" s="5">
        <v>2.4169999999999998</v>
      </c>
      <c r="H27" s="5">
        <f t="shared" si="6"/>
        <v>1367.5871388781461</v>
      </c>
      <c r="I27" s="5">
        <v>1360</v>
      </c>
      <c r="J27" s="11">
        <f>(I27-$H$11)/$H$12</f>
        <v>2.4033844730964544</v>
      </c>
      <c r="K27">
        <f>(G27-J27)/J27*100</f>
        <v>0.56651472354747823</v>
      </c>
      <c r="M27" s="5">
        <v>2.4169999999999998</v>
      </c>
      <c r="N27" s="5">
        <f t="shared" si="7"/>
        <v>-921.34748584538772</v>
      </c>
      <c r="O27" s="5">
        <v>-938.87</v>
      </c>
      <c r="P27">
        <f>(O27-$N$11)/$N$12</f>
        <v>2.4631869571384826</v>
      </c>
      <c r="Q27">
        <f t="shared" si="9"/>
        <v>-1.8750893838825278</v>
      </c>
    </row>
    <row r="28" spans="1:17" x14ac:dyDescent="0.3">
      <c r="C28" s="12">
        <v>343</v>
      </c>
      <c r="D28" s="12">
        <f>(C28-$B$11)/$B$12</f>
        <v>0.48520734776346403</v>
      </c>
      <c r="G28" t="s">
        <v>31</v>
      </c>
    </row>
    <row r="29" spans="1:17" x14ac:dyDescent="0.3">
      <c r="D29" t="s">
        <v>36</v>
      </c>
    </row>
    <row r="30" spans="1:17" x14ac:dyDescent="0.3">
      <c r="D30" s="12"/>
    </row>
    <row r="32" spans="1:17" ht="17.25" thickBot="1" x14ac:dyDescent="0.35"/>
    <row r="33" spans="1:21" ht="27" thickBot="1" x14ac:dyDescent="0.35">
      <c r="A33" s="41" t="s">
        <v>41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3"/>
    </row>
    <row r="34" spans="1:21" ht="26.25" x14ac:dyDescent="0.3">
      <c r="G34" s="40" t="s">
        <v>8</v>
      </c>
      <c r="H34" s="40"/>
      <c r="I34" s="9"/>
      <c r="J34" s="9"/>
      <c r="M34" s="40" t="s">
        <v>10</v>
      </c>
      <c r="N34" s="40"/>
    </row>
    <row r="35" spans="1:21" x14ac:dyDescent="0.3">
      <c r="G35" s="38" t="s">
        <v>7</v>
      </c>
      <c r="H35" s="38"/>
      <c r="M35" s="38" t="s">
        <v>7</v>
      </c>
      <c r="N35" s="38"/>
    </row>
    <row r="36" spans="1:21" x14ac:dyDescent="0.3">
      <c r="G36" s="5" t="s">
        <v>14</v>
      </c>
      <c r="H36" s="5" t="s">
        <v>19</v>
      </c>
      <c r="M36" s="5" t="s">
        <v>15</v>
      </c>
      <c r="N36" s="5" t="s">
        <v>19</v>
      </c>
      <c r="Q36" t="s">
        <v>45</v>
      </c>
      <c r="S36" t="s">
        <v>11</v>
      </c>
      <c r="T36" t="s">
        <v>12</v>
      </c>
      <c r="U36" t="s">
        <v>44</v>
      </c>
    </row>
    <row r="37" spans="1:21" x14ac:dyDescent="0.3">
      <c r="G37" s="5">
        <v>5.1499999999999997E-2</v>
      </c>
      <c r="H37" s="5">
        <v>41.09</v>
      </c>
      <c r="M37" s="5">
        <v>5.1499999999999997E-2</v>
      </c>
      <c r="N37" s="5">
        <v>10.88</v>
      </c>
      <c r="Q37">
        <f>H37*H37+N37*N37</f>
        <v>1806.7625000000003</v>
      </c>
      <c r="R37">
        <f>SQRT(Q37)</f>
        <v>42.506028984133536</v>
      </c>
      <c r="S37">
        <f>R37/M37</f>
        <v>825.35978609968038</v>
      </c>
      <c r="T37">
        <f>N37/H37</f>
        <v>0.26478461912874179</v>
      </c>
      <c r="U37">
        <f>DEGREES(ATAN(T37))</f>
        <v>14.83069576972092</v>
      </c>
    </row>
    <row r="38" spans="1:21" x14ac:dyDescent="0.3">
      <c r="G38" s="5">
        <v>0.20230000000000001</v>
      </c>
      <c r="H38" s="5">
        <v>144.63999999999999</v>
      </c>
      <c r="M38" s="5">
        <v>0.20230000000000001</v>
      </c>
      <c r="N38" s="5">
        <v>28.06</v>
      </c>
      <c r="Q38">
        <f t="shared" ref="Q38:Q39" si="10">H38*H38+N38*N38</f>
        <v>21708.093199999996</v>
      </c>
      <c r="R38">
        <f t="shared" ref="R38:R39" si="11">SQRT(Q38)</f>
        <v>147.33666617648166</v>
      </c>
      <c r="S38">
        <f t="shared" ref="S38" si="12">R38/M38</f>
        <v>728.30779128265772</v>
      </c>
      <c r="T38">
        <f t="shared" ref="T38:T39" si="13">N38/H38</f>
        <v>0.19399889380530974</v>
      </c>
      <c r="U38">
        <f t="shared" ref="U38:U39" si="14">DEGREES(ATAN(T38))</f>
        <v>10.978940651081368</v>
      </c>
    </row>
    <row r="39" spans="1:21" x14ac:dyDescent="0.3">
      <c r="G39" s="5">
        <v>0.39579999999999999</v>
      </c>
      <c r="H39" s="5">
        <v>276.83</v>
      </c>
      <c r="M39" s="5">
        <v>0.39579999999999999</v>
      </c>
      <c r="N39" s="5">
        <v>51.41</v>
      </c>
      <c r="Q39">
        <f t="shared" si="10"/>
        <v>79277.837</v>
      </c>
      <c r="R39">
        <f t="shared" si="11"/>
        <v>281.56320249634894</v>
      </c>
      <c r="S39">
        <f>R39/M39</f>
        <v>711.37746967243288</v>
      </c>
      <c r="T39">
        <f t="shared" si="13"/>
        <v>0.18570964129610229</v>
      </c>
      <c r="U39">
        <f t="shared" si="14"/>
        <v>10.520527080034912</v>
      </c>
    </row>
    <row r="40" spans="1:21" x14ac:dyDescent="0.3">
      <c r="G40" s="5">
        <v>0.60699999999999998</v>
      </c>
      <c r="H40" s="5">
        <v>419.21</v>
      </c>
      <c r="M40" s="5">
        <v>0.60699999999999998</v>
      </c>
      <c r="N40" s="5">
        <v>78.2</v>
      </c>
      <c r="Q40">
        <f>H40*H40+N40*N40</f>
        <v>181852.26409999997</v>
      </c>
      <c r="R40">
        <f>SQRT(Q40)</f>
        <v>426.44139585645291</v>
      </c>
      <c r="S40">
        <f>R40/M40</f>
        <v>702.53936714407405</v>
      </c>
      <c r="T40">
        <f>N40/H40</f>
        <v>0.18654135158989529</v>
      </c>
      <c r="U40">
        <f>DEGREES(ATAN(T40))</f>
        <v>10.566584996736852</v>
      </c>
    </row>
    <row r="41" spans="1:21" x14ac:dyDescent="0.3">
      <c r="G41" s="5">
        <v>0.749</v>
      </c>
      <c r="H41" s="5">
        <v>513.78</v>
      </c>
      <c r="M41" s="5">
        <v>0.749</v>
      </c>
      <c r="N41" s="5">
        <v>99.01</v>
      </c>
      <c r="Q41">
        <f>H41*H41+N41*N41</f>
        <v>273772.86849999998</v>
      </c>
      <c r="R41">
        <f>SQRT(Q41)</f>
        <v>523.23309193895602</v>
      </c>
      <c r="S41">
        <f>R41/M41</f>
        <v>698.57555666082249</v>
      </c>
      <c r="T41">
        <f>N41/H41</f>
        <v>0.19270894157032195</v>
      </c>
      <c r="U41">
        <f t="shared" ref="U41:U43" si="15">DEGREES(ATAN(T41))</f>
        <v>10.907695397062016</v>
      </c>
    </row>
    <row r="42" spans="1:21" x14ac:dyDescent="0.3">
      <c r="G42" s="5">
        <v>1.002</v>
      </c>
      <c r="H42" s="5">
        <v>676.81</v>
      </c>
      <c r="M42" s="5">
        <v>1.002</v>
      </c>
      <c r="N42" s="5">
        <v>124.53</v>
      </c>
      <c r="Q42">
        <f>H42*H42+N42*N42</f>
        <v>473579.49699999992</v>
      </c>
      <c r="R42">
        <f t="shared" ref="R42:R43" si="16">SQRT(Q42)</f>
        <v>688.17112479382615</v>
      </c>
      <c r="S42">
        <f t="shared" ref="S42:S43" si="17">R42/M42</f>
        <v>686.79752973435745</v>
      </c>
      <c r="T42">
        <f>N42/H42</f>
        <v>0.18399550834059783</v>
      </c>
      <c r="U42">
        <f t="shared" si="15"/>
        <v>10.425559600180934</v>
      </c>
    </row>
    <row r="43" spans="1:21" x14ac:dyDescent="0.3">
      <c r="G43" s="5">
        <v>1.498</v>
      </c>
      <c r="H43" s="5">
        <v>1000</v>
      </c>
      <c r="M43" s="5">
        <v>1.498</v>
      </c>
      <c r="N43" s="5">
        <v>171.45</v>
      </c>
      <c r="Q43">
        <f>H43*H43+N43*N43</f>
        <v>1029395.1025</v>
      </c>
      <c r="R43">
        <f t="shared" si="16"/>
        <v>1014.5911011338509</v>
      </c>
      <c r="S43">
        <f t="shared" si="17"/>
        <v>677.29713026291779</v>
      </c>
      <c r="T43">
        <f>N43/H43</f>
        <v>0.17144999999999999</v>
      </c>
      <c r="U43">
        <f t="shared" si="15"/>
        <v>9.7287712626187339</v>
      </c>
    </row>
    <row r="44" spans="1:21" ht="17.25" thickBot="1" x14ac:dyDescent="0.35">
      <c r="G44" s="44" t="s">
        <v>24</v>
      </c>
      <c r="H44" s="44"/>
      <c r="M44" s="44" t="s">
        <v>24</v>
      </c>
      <c r="N44" s="44"/>
    </row>
    <row r="45" spans="1:21" x14ac:dyDescent="0.3">
      <c r="G45" s="10"/>
      <c r="H45" s="10" t="s">
        <v>2</v>
      </c>
      <c r="I45" t="s">
        <v>43</v>
      </c>
      <c r="M45" s="3"/>
      <c r="N45" s="3" t="s">
        <v>2</v>
      </c>
    </row>
    <row r="46" spans="1:21" x14ac:dyDescent="0.3">
      <c r="G46" s="6" t="s">
        <v>25</v>
      </c>
      <c r="H46" s="1">
        <v>12.551203714991345</v>
      </c>
      <c r="I46" s="1">
        <v>7.2442451018316092</v>
      </c>
      <c r="K46" s="1"/>
      <c r="M46" s="6" t="s">
        <v>25</v>
      </c>
      <c r="N46" s="1">
        <v>7.70281409938561</v>
      </c>
    </row>
    <row r="47" spans="1:21" ht="17.25" thickBot="1" x14ac:dyDescent="0.35">
      <c r="G47" s="6" t="s">
        <v>27</v>
      </c>
      <c r="H47" s="2">
        <v>662.41379039307969</v>
      </c>
      <c r="I47" s="2">
        <v>677.80154292523025</v>
      </c>
      <c r="M47" s="6" t="s">
        <v>26</v>
      </c>
      <c r="N47" s="2">
        <v>113.0993211346548</v>
      </c>
    </row>
    <row r="49" spans="7:15" x14ac:dyDescent="0.3">
      <c r="G49" s="38" t="s">
        <v>40</v>
      </c>
      <c r="H49" s="38"/>
      <c r="M49" s="38" t="s">
        <v>40</v>
      </c>
      <c r="N49" s="38"/>
    </row>
    <row r="50" spans="7:15" x14ac:dyDescent="0.3">
      <c r="G50" s="7" t="s">
        <v>17</v>
      </c>
      <c r="H50" s="5" t="s">
        <v>3</v>
      </c>
      <c r="I50" t="s">
        <v>32</v>
      </c>
      <c r="J50" t="s">
        <v>35</v>
      </c>
      <c r="M50" s="7" t="s">
        <v>17</v>
      </c>
      <c r="N50" s="5" t="s">
        <v>3</v>
      </c>
    </row>
    <row r="51" spans="7:15" x14ac:dyDescent="0.3">
      <c r="G51" s="5"/>
      <c r="H51" s="5"/>
      <c r="I51" s="5"/>
      <c r="J51" s="11"/>
      <c r="M51" s="5"/>
      <c r="N51" s="5"/>
      <c r="O51" s="5"/>
    </row>
    <row r="52" spans="7:15" x14ac:dyDescent="0.3">
      <c r="G52" s="5">
        <v>0.21540000000000001</v>
      </c>
      <c r="H52" s="5">
        <v>153.85</v>
      </c>
      <c r="I52" s="5">
        <f>(H52-$H$46)/$H$47</f>
        <v>0.21330895934573046</v>
      </c>
      <c r="J52" s="11">
        <f>(G52-I52)/I52*100</f>
        <v>0.98028730752016457</v>
      </c>
      <c r="M52" s="5">
        <v>0.21540000000000001</v>
      </c>
      <c r="N52" s="5"/>
      <c r="O52" s="5"/>
    </row>
    <row r="53" spans="7:15" x14ac:dyDescent="0.3">
      <c r="G53" s="5">
        <v>0.33539999999999998</v>
      </c>
      <c r="H53" s="5">
        <v>235.35</v>
      </c>
      <c r="I53" s="5">
        <f>(H53-$H$46)/$H$47</f>
        <v>0.33634383751702801</v>
      </c>
      <c r="J53" s="11">
        <f>(G53-I53)/I53*100</f>
        <v>-0.28061686041155759</v>
      </c>
      <c r="M53" s="5">
        <v>0.33539999999999998</v>
      </c>
      <c r="N53" s="5"/>
      <c r="O53" s="5"/>
    </row>
    <row r="54" spans="7:15" x14ac:dyDescent="0.3">
      <c r="G54" s="5">
        <v>0.60099999999999998</v>
      </c>
      <c r="H54" s="5">
        <v>415.15</v>
      </c>
      <c r="I54" s="5">
        <f>(H54-$H$46)/$H$47</f>
        <v>0.60777538469738757</v>
      </c>
      <c r="J54" s="11">
        <f>(G54-I54)/I54*100</f>
        <v>-1.11478432130993</v>
      </c>
      <c r="M54" s="5">
        <v>0.60099999999999998</v>
      </c>
      <c r="N54" s="5"/>
      <c r="O54" s="5"/>
    </row>
    <row r="55" spans="7:15" x14ac:dyDescent="0.3">
      <c r="J55" s="11"/>
    </row>
    <row r="56" spans="7:15" x14ac:dyDescent="0.3">
      <c r="G56" s="5">
        <v>2.4169999999999998</v>
      </c>
      <c r="H56" s="5"/>
      <c r="I56" s="5"/>
      <c r="J56" s="11"/>
      <c r="M56" s="5"/>
      <c r="N56" s="5"/>
      <c r="O56" s="5"/>
    </row>
  </sheetData>
  <mergeCells count="28">
    <mergeCell ref="A1:P1"/>
    <mergeCell ref="Q1:AF1"/>
    <mergeCell ref="G44:H44"/>
    <mergeCell ref="M44:N44"/>
    <mergeCell ref="A2:B2"/>
    <mergeCell ref="G2:H2"/>
    <mergeCell ref="M3:N3"/>
    <mergeCell ref="M2:N2"/>
    <mergeCell ref="M9:N9"/>
    <mergeCell ref="M13:N13"/>
    <mergeCell ref="G3:H3"/>
    <mergeCell ref="G9:H9"/>
    <mergeCell ref="G13:H13"/>
    <mergeCell ref="A13:B13"/>
    <mergeCell ref="A9:B9"/>
    <mergeCell ref="A20:B20"/>
    <mergeCell ref="B21:C21"/>
    <mergeCell ref="G49:H49"/>
    <mergeCell ref="M49:N49"/>
    <mergeCell ref="M20:N20"/>
    <mergeCell ref="N21:O21"/>
    <mergeCell ref="G34:H34"/>
    <mergeCell ref="M34:N34"/>
    <mergeCell ref="G35:H35"/>
    <mergeCell ref="M35:N35"/>
    <mergeCell ref="G20:H20"/>
    <mergeCell ref="H21:I21"/>
    <mergeCell ref="A33:P33"/>
  </mergeCells>
  <phoneticPr fontId="1" type="noConversion"/>
  <pageMargins left="0.7" right="0.7" top="0.75" bottom="0.75" header="0.3" footer="0.3"/>
  <pageSetup paperSize="9" scale="3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workbookViewId="0">
      <selection activeCell="C23" sqref="C23"/>
    </sheetView>
  </sheetViews>
  <sheetFormatPr defaultRowHeight="16.5" x14ac:dyDescent="0.3"/>
  <cols>
    <col min="1" max="1" width="9.875" customWidth="1"/>
    <col min="2" max="2" width="17.625" customWidth="1"/>
    <col min="5" max="5" width="8.25" customWidth="1"/>
    <col min="6" max="6" width="11.75" customWidth="1"/>
    <col min="7" max="7" width="9.5" customWidth="1"/>
    <col min="8" max="8" width="36.875" customWidth="1"/>
    <col min="11" max="12" width="15.625" customWidth="1"/>
    <col min="13" max="13" width="9.875" customWidth="1"/>
    <col min="14" max="14" width="41.375" customWidth="1"/>
  </cols>
  <sheetData>
    <row r="1" spans="1:20" ht="26.25" x14ac:dyDescent="0.3">
      <c r="A1" s="40" t="s">
        <v>9</v>
      </c>
      <c r="B1" s="40"/>
      <c r="E1" s="9"/>
      <c r="F1" s="9"/>
      <c r="G1" s="40" t="s">
        <v>8</v>
      </c>
      <c r="H1" s="40"/>
      <c r="I1" s="9"/>
      <c r="J1" s="9"/>
      <c r="M1" s="40" t="s">
        <v>10</v>
      </c>
      <c r="N1" s="40"/>
    </row>
    <row r="2" spans="1:20" x14ac:dyDescent="0.3">
      <c r="A2" s="8" t="s">
        <v>4</v>
      </c>
      <c r="B2" s="8"/>
      <c r="G2" s="38" t="s">
        <v>7</v>
      </c>
      <c r="H2" s="38"/>
      <c r="M2" s="38" t="s">
        <v>7</v>
      </c>
      <c r="N2" s="38"/>
    </row>
    <row r="3" spans="1:20" x14ac:dyDescent="0.3">
      <c r="A3" s="5" t="s">
        <v>13</v>
      </c>
      <c r="B3" s="5" t="s">
        <v>38</v>
      </c>
      <c r="G3" s="5" t="s">
        <v>14</v>
      </c>
      <c r="H3" s="5" t="s">
        <v>19</v>
      </c>
      <c r="M3" s="5" t="s">
        <v>15</v>
      </c>
      <c r="N3" s="5" t="s">
        <v>19</v>
      </c>
      <c r="S3" t="s">
        <v>11</v>
      </c>
      <c r="T3" t="s">
        <v>12</v>
      </c>
    </row>
    <row r="4" spans="1:20" x14ac:dyDescent="0.3">
      <c r="A4" s="5">
        <v>5.1499999999999997E-2</v>
      </c>
      <c r="B4" s="5">
        <v>41.72</v>
      </c>
      <c r="G4" s="5"/>
      <c r="H4" s="5"/>
      <c r="M4" s="5"/>
      <c r="N4" s="5"/>
    </row>
    <row r="5" spans="1:20" x14ac:dyDescent="0.3">
      <c r="A5" s="5">
        <v>0.20230000000000001</v>
      </c>
      <c r="B5" s="5">
        <v>147.33000000000001</v>
      </c>
      <c r="G5" s="5"/>
      <c r="H5" s="5"/>
      <c r="M5" s="5"/>
      <c r="N5" s="5"/>
    </row>
    <row r="6" spans="1:20" x14ac:dyDescent="0.3">
      <c r="A6" s="5">
        <v>0.39579999999999999</v>
      </c>
      <c r="B6" s="5">
        <v>283</v>
      </c>
      <c r="G6" s="5"/>
      <c r="H6" s="5"/>
      <c r="M6" s="5"/>
      <c r="N6" s="5"/>
    </row>
    <row r="7" spans="1:20" s="14" customFormat="1" ht="17.25" x14ac:dyDescent="0.3">
      <c r="A7" s="13">
        <v>0.60699999999999998</v>
      </c>
      <c r="B7" s="13">
        <v>431.07</v>
      </c>
      <c r="G7" s="13"/>
      <c r="H7" s="13"/>
      <c r="M7" s="13"/>
      <c r="N7" s="13"/>
      <c r="Q7" s="14">
        <f>H7*H7+N7*N7</f>
        <v>0</v>
      </c>
      <c r="R7" s="14">
        <f>SQRT(Q7)</f>
        <v>0</v>
      </c>
      <c r="S7" s="14" t="e">
        <f>R7/M7</f>
        <v>#DIV/0!</v>
      </c>
      <c r="T7" s="14" t="e">
        <f>N7/H7</f>
        <v>#DIV/0!</v>
      </c>
    </row>
    <row r="8" spans="1:20" s="14" customFormat="1" ht="17.25" x14ac:dyDescent="0.3">
      <c r="A8" s="13">
        <v>0.749</v>
      </c>
      <c r="B8" s="13">
        <v>527.24</v>
      </c>
      <c r="G8" s="13"/>
      <c r="H8" s="13"/>
      <c r="M8" s="13"/>
      <c r="N8" s="13"/>
      <c r="Q8" s="14">
        <f>H8*H8+N8*N8</f>
        <v>0</v>
      </c>
      <c r="R8" s="14">
        <f>SQRT(Q8)</f>
        <v>0</v>
      </c>
      <c r="S8" s="14" t="e">
        <f>R8/M8</f>
        <v>#DIV/0!</v>
      </c>
      <c r="T8" s="14" t="e">
        <f>N8/H8</f>
        <v>#DIV/0!</v>
      </c>
    </row>
    <row r="9" spans="1:20" x14ac:dyDescent="0.3">
      <c r="A9" s="5">
        <v>1.002</v>
      </c>
      <c r="B9" s="5">
        <v>695.08</v>
      </c>
      <c r="G9" s="5"/>
      <c r="H9" s="5"/>
      <c r="M9" s="5"/>
      <c r="N9" s="5"/>
      <c r="Q9">
        <f>H9*H9+N9*N9</f>
        <v>0</v>
      </c>
      <c r="R9">
        <f t="shared" ref="R9:R10" si="0">SQRT(Q9)</f>
        <v>0</v>
      </c>
      <c r="S9" t="e">
        <f t="shared" ref="S9:S10" si="1">R9/M9</f>
        <v>#DIV/0!</v>
      </c>
      <c r="T9" t="e">
        <f>N9/H9</f>
        <v>#DIV/0!</v>
      </c>
    </row>
    <row r="10" spans="1:20" x14ac:dyDescent="0.3">
      <c r="A10" s="5">
        <v>1.498</v>
      </c>
      <c r="B10" s="5">
        <v>1030</v>
      </c>
      <c r="G10" s="5"/>
      <c r="H10" s="5"/>
      <c r="M10" s="5"/>
      <c r="N10" s="5"/>
      <c r="Q10">
        <f>H10*H10+N10*N10</f>
        <v>0</v>
      </c>
      <c r="R10">
        <f t="shared" si="0"/>
        <v>0</v>
      </c>
      <c r="S10" t="e">
        <f t="shared" si="1"/>
        <v>#DIV/0!</v>
      </c>
      <c r="T10" t="e">
        <f>N10/H10</f>
        <v>#DIV/0!</v>
      </c>
    </row>
    <row r="11" spans="1:20" ht="17.25" thickBot="1" x14ac:dyDescent="0.35">
      <c r="A11" s="44" t="s">
        <v>24</v>
      </c>
      <c r="B11" s="44"/>
      <c r="G11" s="44" t="s">
        <v>24</v>
      </c>
      <c r="H11" s="44"/>
      <c r="M11" s="44" t="s">
        <v>24</v>
      </c>
      <c r="N11" s="44"/>
    </row>
    <row r="12" spans="1:20" x14ac:dyDescent="0.3">
      <c r="A12" s="3"/>
      <c r="B12" s="3" t="s">
        <v>2</v>
      </c>
      <c r="G12" s="10"/>
      <c r="H12" s="10" t="s">
        <v>2</v>
      </c>
      <c r="M12" s="3"/>
      <c r="N12" s="3" t="s">
        <v>2</v>
      </c>
    </row>
    <row r="13" spans="1:20" x14ac:dyDescent="0.3">
      <c r="A13" s="6" t="s">
        <v>25</v>
      </c>
      <c r="B13" s="1">
        <v>11.292869151713489</v>
      </c>
      <c r="G13" s="6"/>
      <c r="H13" s="6"/>
      <c r="M13" s="6"/>
      <c r="N13" s="6"/>
    </row>
    <row r="14" spans="1:20" ht="17.25" thickBot="1" x14ac:dyDescent="0.35">
      <c r="A14" s="6" t="s">
        <v>26</v>
      </c>
      <c r="B14" s="2">
        <v>682.79250620072912</v>
      </c>
      <c r="G14" s="6"/>
      <c r="H14" s="6"/>
      <c r="M14" s="6"/>
      <c r="N14" s="6"/>
    </row>
    <row r="16" spans="1:20" x14ac:dyDescent="0.3">
      <c r="A16" s="38" t="s">
        <v>39</v>
      </c>
      <c r="B16" s="38"/>
      <c r="G16" s="38" t="s">
        <v>39</v>
      </c>
      <c r="H16" s="38"/>
      <c r="M16" s="38" t="s">
        <v>40</v>
      </c>
      <c r="N16" s="38"/>
    </row>
    <row r="17" spans="1:16" x14ac:dyDescent="0.3">
      <c r="A17" s="7" t="s">
        <v>17</v>
      </c>
      <c r="B17" s="5" t="s">
        <v>3</v>
      </c>
      <c r="C17" t="s">
        <v>32</v>
      </c>
      <c r="D17" t="s">
        <v>35</v>
      </c>
      <c r="G17" s="7" t="s">
        <v>17</v>
      </c>
      <c r="H17" s="5" t="s">
        <v>3</v>
      </c>
      <c r="I17" s="5"/>
      <c r="J17" s="11"/>
      <c r="M17" s="7" t="s">
        <v>17</v>
      </c>
      <c r="N17" s="5" t="s">
        <v>3</v>
      </c>
      <c r="O17" s="5" t="s">
        <v>3</v>
      </c>
      <c r="P17" t="s">
        <v>34</v>
      </c>
    </row>
    <row r="18" spans="1:16" x14ac:dyDescent="0.3">
      <c r="A18" s="5">
        <v>0.21540000000000001</v>
      </c>
      <c r="B18" s="5">
        <v>156.53</v>
      </c>
      <c r="C18">
        <f>(B18-$B$13)/$B$14</f>
        <v>0.21271049334801767</v>
      </c>
      <c r="D18">
        <f>(A18-C18)/C18*100</f>
        <v>1.2643977312308752</v>
      </c>
      <c r="G18" s="5"/>
      <c r="H18" s="5"/>
      <c r="I18" s="11"/>
      <c r="M18" s="5"/>
      <c r="N18" s="5"/>
      <c r="O18" s="5"/>
    </row>
    <row r="19" spans="1:16" x14ac:dyDescent="0.3">
      <c r="A19" s="5">
        <v>0.33539999999999998</v>
      </c>
      <c r="B19" s="5">
        <v>240.72</v>
      </c>
      <c r="C19">
        <f t="shared" ref="C19:C20" si="2">(B19-$B$13)/$B$14</f>
        <v>0.33601295966894945</v>
      </c>
      <c r="D19">
        <f t="shared" ref="D19:D20" si="3">(A19-C19)/C19*100</f>
        <v>-0.18242143682594342</v>
      </c>
      <c r="G19" s="5"/>
      <c r="H19" s="5"/>
      <c r="I19" s="11"/>
      <c r="M19" s="5"/>
      <c r="N19" s="5"/>
      <c r="O19" s="5"/>
    </row>
    <row r="20" spans="1:16" x14ac:dyDescent="0.3">
      <c r="A20" s="5">
        <v>0.60099999999999998</v>
      </c>
      <c r="B20" s="5">
        <v>426.51</v>
      </c>
      <c r="C20">
        <f t="shared" si="2"/>
        <v>0.60811612177568319</v>
      </c>
      <c r="D20">
        <f t="shared" si="3"/>
        <v>-1.1701912711842477</v>
      </c>
      <c r="G20" s="5"/>
      <c r="H20" s="5"/>
      <c r="I20" s="11"/>
      <c r="M20" s="5"/>
      <c r="N20" s="5"/>
      <c r="O20" s="5"/>
    </row>
    <row r="21" spans="1:16" x14ac:dyDescent="0.3">
      <c r="J21" s="11"/>
    </row>
    <row r="22" spans="1:16" x14ac:dyDescent="0.3">
      <c r="A22" s="5">
        <v>2.4169999999999998</v>
      </c>
      <c r="B22" s="5"/>
      <c r="C22" s="5"/>
      <c r="G22" s="5"/>
      <c r="H22" s="5"/>
      <c r="I22" s="5"/>
      <c r="J22" s="11"/>
      <c r="M22" s="5"/>
      <c r="N22" s="5"/>
      <c r="O22" s="5"/>
    </row>
    <row r="23" spans="1:16" x14ac:dyDescent="0.3">
      <c r="A23" t="s">
        <v>37</v>
      </c>
      <c r="B23" s="12">
        <v>353</v>
      </c>
      <c r="C23" s="12">
        <f>(B23-$B$13)/$B$14</f>
        <v>0.5004553033975897</v>
      </c>
      <c r="D23" s="12"/>
    </row>
    <row r="25" spans="1:16" x14ac:dyDescent="0.3">
      <c r="D25" s="12"/>
    </row>
  </sheetData>
  <mergeCells count="11">
    <mergeCell ref="A16:B16"/>
    <mergeCell ref="G16:H16"/>
    <mergeCell ref="M16:N16"/>
    <mergeCell ref="A1:B1"/>
    <mergeCell ref="G1:H1"/>
    <mergeCell ref="M1:N1"/>
    <mergeCell ref="G2:H2"/>
    <mergeCell ref="M2:N2"/>
    <mergeCell ref="A11:B11"/>
    <mergeCell ref="G11:H11"/>
    <mergeCell ref="M11:N11"/>
  </mergeCells>
  <phoneticPr fontId="1" type="noConversion"/>
  <pageMargins left="0.7" right="0.7" top="0.75" bottom="0.75" header="0.3" footer="0.3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5"/>
  <sheetViews>
    <sheetView workbookViewId="0">
      <selection activeCell="L12" sqref="L12:P16"/>
    </sheetView>
  </sheetViews>
  <sheetFormatPr defaultRowHeight="16.5" x14ac:dyDescent="0.3"/>
  <cols>
    <col min="2" max="2" width="9.875" customWidth="1"/>
    <col min="3" max="3" width="17.625" customWidth="1"/>
    <col min="4" max="4" width="14.25" customWidth="1"/>
    <col min="6" max="6" width="8.25" customWidth="1"/>
    <col min="7" max="7" width="11.75" customWidth="1"/>
    <col min="9" max="9" width="13.375" customWidth="1"/>
    <col min="10" max="10" width="17.25" customWidth="1"/>
    <col min="15" max="15" width="31.375" customWidth="1"/>
  </cols>
  <sheetData>
    <row r="1" spans="2:15" ht="27" thickBot="1" x14ac:dyDescent="0.35">
      <c r="B1" s="40" t="s">
        <v>9</v>
      </c>
      <c r="C1" s="40"/>
      <c r="F1" s="9"/>
      <c r="G1" s="9"/>
    </row>
    <row r="2" spans="2:15" x14ac:dyDescent="0.3">
      <c r="B2" s="46" t="s">
        <v>4</v>
      </c>
      <c r="C2" s="47"/>
      <c r="D2" s="48"/>
    </row>
    <row r="3" spans="2:15" x14ac:dyDescent="0.3">
      <c r="B3" s="16" t="s">
        <v>13</v>
      </c>
      <c r="C3" s="5" t="s">
        <v>38</v>
      </c>
      <c r="D3" s="17" t="s">
        <v>46</v>
      </c>
      <c r="L3">
        <v>300.89999999999998</v>
      </c>
      <c r="M3">
        <v>214.88</v>
      </c>
    </row>
    <row r="4" spans="2:15" x14ac:dyDescent="0.3">
      <c r="B4" s="16">
        <v>5.1499999999999997E-2</v>
      </c>
      <c r="C4" s="5">
        <v>42.24</v>
      </c>
      <c r="D4" s="17">
        <f>C4/B4</f>
        <v>820.19417475728164</v>
      </c>
      <c r="L4">
        <v>396.2</v>
      </c>
      <c r="M4">
        <v>280.77</v>
      </c>
    </row>
    <row r="5" spans="2:15" x14ac:dyDescent="0.3">
      <c r="B5" s="16">
        <v>0.20230000000000001</v>
      </c>
      <c r="C5" s="5">
        <v>149.54</v>
      </c>
      <c r="D5" s="17">
        <f t="shared" ref="D5:D10" si="0">C5/B5</f>
        <v>739.19920909540281</v>
      </c>
      <c r="L5">
        <v>501.9</v>
      </c>
      <c r="M5">
        <v>351.5</v>
      </c>
    </row>
    <row r="6" spans="2:15" ht="17.25" x14ac:dyDescent="0.3">
      <c r="B6" s="16">
        <v>0.39579999999999999</v>
      </c>
      <c r="C6" s="5">
        <v>286.89999999999998</v>
      </c>
      <c r="D6" s="17">
        <f t="shared" si="0"/>
        <v>724.86104092976245</v>
      </c>
      <c r="L6">
        <v>704</v>
      </c>
      <c r="M6" s="34">
        <v>489.15</v>
      </c>
    </row>
    <row r="7" spans="2:15" s="14" customFormat="1" ht="17.25" x14ac:dyDescent="0.3">
      <c r="B7" s="18">
        <v>0.60699999999999998</v>
      </c>
      <c r="C7" s="13">
        <v>436.93</v>
      </c>
      <c r="D7" s="17">
        <f t="shared" si="0"/>
        <v>719.81878088962117</v>
      </c>
    </row>
    <row r="8" spans="2:15" s="14" customFormat="1" ht="17.25" x14ac:dyDescent="0.3">
      <c r="B8" s="18">
        <v>0.749</v>
      </c>
      <c r="C8" s="13">
        <v>534.72</v>
      </c>
      <c r="D8" s="17">
        <f t="shared" si="0"/>
        <v>713.91188251001336</v>
      </c>
    </row>
    <row r="9" spans="2:15" ht="17.25" thickBot="1" x14ac:dyDescent="0.35">
      <c r="B9" s="16">
        <v>1.002</v>
      </c>
      <c r="C9" s="5">
        <v>704.24</v>
      </c>
      <c r="D9" s="17">
        <f t="shared" si="0"/>
        <v>702.83433133732535</v>
      </c>
    </row>
    <row r="10" spans="2:15" ht="17.25" thickBot="1" x14ac:dyDescent="0.35">
      <c r="B10" s="19">
        <v>1.498</v>
      </c>
      <c r="C10" s="20">
        <v>1050</v>
      </c>
      <c r="D10" s="21">
        <f t="shared" si="0"/>
        <v>700.93457943925239</v>
      </c>
      <c r="H10" s="49" t="s">
        <v>50</v>
      </c>
      <c r="I10" s="50"/>
    </row>
    <row r="11" spans="2:15" ht="17.25" thickBot="1" x14ac:dyDescent="0.35">
      <c r="B11" s="49" t="s">
        <v>24</v>
      </c>
      <c r="C11" s="50"/>
      <c r="H11" t="s">
        <v>47</v>
      </c>
      <c r="I11" t="s">
        <v>48</v>
      </c>
    </row>
    <row r="12" spans="2:15" x14ac:dyDescent="0.3">
      <c r="B12" s="22"/>
      <c r="C12" s="23" t="s">
        <v>2</v>
      </c>
      <c r="H12" s="16">
        <v>0.20230000000000001</v>
      </c>
      <c r="I12" s="5">
        <v>149.54</v>
      </c>
      <c r="J12">
        <v>147.13</v>
      </c>
      <c r="L12">
        <v>300.89999999999998</v>
      </c>
      <c r="M12">
        <v>214.88</v>
      </c>
    </row>
    <row r="13" spans="2:15" x14ac:dyDescent="0.3">
      <c r="B13" s="24" t="s">
        <v>25</v>
      </c>
      <c r="C13" s="25">
        <v>6.4345481026029461</v>
      </c>
      <c r="D13" s="1">
        <v>10.168991123371825</v>
      </c>
      <c r="H13" s="16">
        <v>0.39579999999999999</v>
      </c>
      <c r="I13" s="5">
        <v>286.89999999999998</v>
      </c>
      <c r="J13">
        <v>280.14999999999998</v>
      </c>
      <c r="L13">
        <v>501.9</v>
      </c>
      <c r="M13">
        <v>351.5</v>
      </c>
    </row>
    <row r="14" spans="2:15" ht="18" thickBot="1" x14ac:dyDescent="0.35">
      <c r="B14" s="26" t="s">
        <v>26</v>
      </c>
      <c r="C14" s="27">
        <v>707.09875323443623</v>
      </c>
      <c r="D14" s="2">
        <v>695.442796106267</v>
      </c>
      <c r="H14" s="18">
        <v>0.60699999999999998</v>
      </c>
      <c r="I14" s="13">
        <v>436.93</v>
      </c>
      <c r="J14" s="14"/>
      <c r="K14" s="14"/>
      <c r="L14">
        <v>704</v>
      </c>
      <c r="M14" s="34">
        <v>489.15</v>
      </c>
    </row>
    <row r="15" spans="2:15" ht="18" thickBot="1" x14ac:dyDescent="0.35">
      <c r="H15" s="14"/>
      <c r="I15" s="14"/>
      <c r="J15" s="14"/>
      <c r="K15" s="14"/>
    </row>
    <row r="16" spans="2:15" ht="17.25" x14ac:dyDescent="0.3">
      <c r="B16" s="46" t="s">
        <v>39</v>
      </c>
      <c r="C16" s="47"/>
      <c r="D16" s="47"/>
      <c r="E16" s="48"/>
      <c r="H16" t="s">
        <v>49</v>
      </c>
      <c r="I16" s="13">
        <v>408.1</v>
      </c>
      <c r="N16">
        <v>310.41000000000003</v>
      </c>
      <c r="O16">
        <f>($H$14-$H$13)/($I$14-$I$13)*(N16-$I$13)+$H$13</f>
        <v>0.42889546090781849</v>
      </c>
    </row>
    <row r="17" spans="2:15" ht="17.25" thickBot="1" x14ac:dyDescent="0.35">
      <c r="B17" s="28" t="s">
        <v>51</v>
      </c>
      <c r="C17" s="5" t="s">
        <v>3</v>
      </c>
      <c r="D17" s="11" t="s">
        <v>32</v>
      </c>
      <c r="E17" s="17" t="s">
        <v>35</v>
      </c>
      <c r="N17">
        <v>310.41000000000003</v>
      </c>
      <c r="O17">
        <f>($L$13-$L$12)/($M$13-$M$12)*(N16-$M$12)+$L$12</f>
        <v>441.44699165568733</v>
      </c>
    </row>
    <row r="18" spans="2:15" x14ac:dyDescent="0.3">
      <c r="B18" s="16">
        <v>0.21540000000000001</v>
      </c>
      <c r="C18" s="5">
        <v>158.83000000000001</v>
      </c>
      <c r="D18" s="11">
        <f>(C18-$C$13)/$C$14</f>
        <v>0.21552216179183512</v>
      </c>
      <c r="E18" s="17">
        <f>(B18-D18)/D18*100</f>
        <v>-5.6681777326035986E-2</v>
      </c>
      <c r="H18" s="46" t="s">
        <v>39</v>
      </c>
      <c r="I18" s="47"/>
      <c r="J18" s="47"/>
      <c r="K18" s="48"/>
    </row>
    <row r="19" spans="2:15" x14ac:dyDescent="0.3">
      <c r="B19" s="16">
        <v>0.33539999999999998</v>
      </c>
      <c r="C19" s="5">
        <v>244.12</v>
      </c>
      <c r="D19" s="11">
        <f t="shared" ref="D19:D22" si="1">(C19-$C$13)/$C$14</f>
        <v>0.33614180595025495</v>
      </c>
      <c r="E19" s="17">
        <f t="shared" ref="E19:E22" si="2">(B19-D19)/D19*100</f>
        <v>-0.22068244327953326</v>
      </c>
      <c r="H19" s="28" t="s">
        <v>17</v>
      </c>
      <c r="I19" s="5" t="s">
        <v>3</v>
      </c>
      <c r="J19" s="11" t="s">
        <v>52</v>
      </c>
      <c r="K19" s="17" t="s">
        <v>35</v>
      </c>
      <c r="L19" s="12"/>
    </row>
    <row r="20" spans="2:15" x14ac:dyDescent="0.3">
      <c r="B20" s="16">
        <v>0.6</v>
      </c>
      <c r="C20" s="5">
        <v>432.45</v>
      </c>
      <c r="D20" s="11">
        <f t="shared" si="1"/>
        <v>0.60248366999475256</v>
      </c>
      <c r="E20" s="17">
        <f t="shared" si="2"/>
        <v>-0.4122385582291736</v>
      </c>
      <c r="H20" s="33">
        <v>0.02</v>
      </c>
      <c r="I20" s="11">
        <v>20.23</v>
      </c>
      <c r="J20" s="11">
        <f>($H$13-$H$12)/($I$13-$I$12)*(I20-$I$12)+$H$12</f>
        <v>2.0140091729761223E-2</v>
      </c>
      <c r="K20" s="17">
        <f>(H20-J20)/J20*100</f>
        <v>-0.6955863540293965</v>
      </c>
    </row>
    <row r="21" spans="2:15" x14ac:dyDescent="0.3">
      <c r="B21" s="16"/>
      <c r="C21" s="15"/>
      <c r="D21" s="11"/>
      <c r="E21" s="17"/>
      <c r="H21" s="16">
        <v>0.21540000000000001</v>
      </c>
      <c r="I21" s="5">
        <v>158.83000000000001</v>
      </c>
      <c r="J21" s="11">
        <f>($H$13-$H$12)/($I$13-$I$12)*(I21-$I$12)+$H$12</f>
        <v>0.21538688846825862</v>
      </c>
      <c r="K21" s="17">
        <f>(H21-J21)/J21*100</f>
        <v>6.0874326355828652E-3</v>
      </c>
    </row>
    <row r="22" spans="2:15" x14ac:dyDescent="0.3">
      <c r="B22" s="16">
        <v>2.4169999999999998</v>
      </c>
      <c r="C22" s="5">
        <v>1670</v>
      </c>
      <c r="D22" s="11">
        <f t="shared" si="1"/>
        <v>2.3526635343194382</v>
      </c>
      <c r="E22" s="17">
        <f t="shared" si="2"/>
        <v>2.7346224711716975</v>
      </c>
      <c r="H22" s="16">
        <v>0.33539999999999998</v>
      </c>
      <c r="I22" s="5">
        <v>244.12</v>
      </c>
      <c r="J22" s="11">
        <f>($H$13-$H$12)/($I$13-$I$12)*(I22-$I$12)+$H$12</f>
        <v>0.33553551252184044</v>
      </c>
      <c r="K22" s="17">
        <f>(H22-J22)/J22*100</f>
        <v>-4.0386938724300707E-2</v>
      </c>
    </row>
    <row r="23" spans="2:15" ht="17.25" thickBot="1" x14ac:dyDescent="0.35">
      <c r="B23" s="29" t="s">
        <v>37</v>
      </c>
      <c r="C23" s="30">
        <v>380</v>
      </c>
      <c r="D23" s="30">
        <f>(C23-$C$13)/$C$14</f>
        <v>0.52830732650654622</v>
      </c>
      <c r="E23" s="31"/>
      <c r="H23" s="16">
        <v>0.6</v>
      </c>
      <c r="I23" s="5">
        <v>432.45</v>
      </c>
      <c r="J23" s="11">
        <f>($H$14-$H$13)/($I$14-$I$13)*(I23-$I$13)+$H$13</f>
        <v>0.60069342131573689</v>
      </c>
      <c r="K23" s="17">
        <f>(H23-J23)/J23*100</f>
        <v>-0.11543680871651028</v>
      </c>
    </row>
    <row r="24" spans="2:15" x14ac:dyDescent="0.3">
      <c r="H24" s="16">
        <v>2.4169999999999998</v>
      </c>
      <c r="I24" s="5">
        <v>1670</v>
      </c>
      <c r="J24" s="11">
        <f>($H$14-$H$13)/($I$14-$I$13)*(I24-$I$13)+$H$13</f>
        <v>2.3428153969206154</v>
      </c>
      <c r="K24" s="17">
        <f t="shared" ref="K24" si="3">(H24-J24)/J24*100</f>
        <v>3.1664724065281593</v>
      </c>
    </row>
    <row r="25" spans="2:15" ht="17.25" thickBot="1" x14ac:dyDescent="0.35">
      <c r="E25" s="12"/>
      <c r="H25" s="29" t="s">
        <v>37</v>
      </c>
      <c r="I25" s="30">
        <v>408.1</v>
      </c>
      <c r="J25" s="32">
        <f>($H$14-$H$13)/($I$14-$I$13)*(I25-$I$13)+$H$13</f>
        <v>0.56641547690461913</v>
      </c>
      <c r="K25" s="31"/>
    </row>
  </sheetData>
  <mergeCells count="6">
    <mergeCell ref="H18:K18"/>
    <mergeCell ref="B2:D2"/>
    <mergeCell ref="B16:E16"/>
    <mergeCell ref="H10:I10"/>
    <mergeCell ref="B1:C1"/>
    <mergeCell ref="B11:C11"/>
  </mergeCells>
  <phoneticPr fontId="1" type="noConversion"/>
  <pageMargins left="0.7" right="0.7" top="0.75" bottom="0.75" header="0.3" footer="0.3"/>
  <pageSetup paperSize="9" scale="9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workbookViewId="0">
      <selection activeCell="G22" sqref="G22"/>
    </sheetView>
  </sheetViews>
  <sheetFormatPr defaultRowHeight="16.5" x14ac:dyDescent="0.3"/>
  <cols>
    <col min="1" max="1" width="9.875" customWidth="1"/>
    <col min="2" max="2" width="17.625" customWidth="1"/>
    <col min="5" max="5" width="8.25" customWidth="1"/>
    <col min="6" max="6" width="11.75" customWidth="1"/>
  </cols>
  <sheetData>
    <row r="1" spans="1:6" ht="26.25" x14ac:dyDescent="0.3">
      <c r="A1" s="40" t="s">
        <v>9</v>
      </c>
      <c r="B1" s="40"/>
      <c r="E1" s="9"/>
      <c r="F1" s="9"/>
    </row>
    <row r="2" spans="1:6" x14ac:dyDescent="0.3">
      <c r="A2" s="8" t="s">
        <v>4</v>
      </c>
      <c r="B2" s="8"/>
    </row>
    <row r="3" spans="1:6" x14ac:dyDescent="0.3">
      <c r="A3" s="5" t="s">
        <v>13</v>
      </c>
      <c r="B3" s="5" t="s">
        <v>38</v>
      </c>
    </row>
    <row r="4" spans="1:6" x14ac:dyDescent="0.3">
      <c r="A4" s="5">
        <v>5.1499999999999997E-2</v>
      </c>
      <c r="B4" s="5">
        <v>37.020000000000003</v>
      </c>
      <c r="C4">
        <f>B4/A4</f>
        <v>718.83495145631082</v>
      </c>
    </row>
    <row r="5" spans="1:6" x14ac:dyDescent="0.3">
      <c r="A5" s="5">
        <v>0.20230000000000001</v>
      </c>
      <c r="B5" s="5">
        <v>129.81</v>
      </c>
      <c r="C5">
        <f t="shared" ref="C5:C10" si="0">B5/A5</f>
        <v>641.67078596144336</v>
      </c>
    </row>
    <row r="6" spans="1:6" x14ac:dyDescent="0.3">
      <c r="A6" s="5">
        <v>0.39579999999999999</v>
      </c>
      <c r="B6" s="5">
        <v>249.19</v>
      </c>
      <c r="C6">
        <f t="shared" si="0"/>
        <v>629.58564931783735</v>
      </c>
    </row>
    <row r="7" spans="1:6" s="14" customFormat="1" ht="17.25" x14ac:dyDescent="0.3">
      <c r="A7" s="13">
        <v>0.60699999999999998</v>
      </c>
      <c r="B7" s="13">
        <v>379.67</v>
      </c>
      <c r="C7">
        <f t="shared" si="0"/>
        <v>625.48599670510714</v>
      </c>
    </row>
    <row r="8" spans="1:6" s="14" customFormat="1" ht="17.25" x14ac:dyDescent="0.3">
      <c r="A8" s="13">
        <v>0.749</v>
      </c>
      <c r="B8" s="13">
        <v>466.41</v>
      </c>
      <c r="C8">
        <f t="shared" si="0"/>
        <v>622.71028037383178</v>
      </c>
    </row>
    <row r="9" spans="1:6" x14ac:dyDescent="0.3">
      <c r="A9" s="5">
        <v>1.002</v>
      </c>
      <c r="B9" s="5">
        <v>616.49</v>
      </c>
      <c r="C9">
        <f t="shared" si="0"/>
        <v>615.25948103792416</v>
      </c>
    </row>
    <row r="10" spans="1:6" x14ac:dyDescent="0.3">
      <c r="A10" s="5">
        <v>1.498</v>
      </c>
      <c r="B10" s="5">
        <v>898.35</v>
      </c>
      <c r="C10">
        <f t="shared" si="0"/>
        <v>599.69959946595463</v>
      </c>
    </row>
    <row r="11" spans="1:6" ht="17.25" thickBot="1" x14ac:dyDescent="0.35">
      <c r="A11" s="44" t="s">
        <v>24</v>
      </c>
      <c r="B11" s="44"/>
    </row>
    <row r="12" spans="1:6" x14ac:dyDescent="0.3">
      <c r="A12" s="3"/>
      <c r="B12" s="3" t="s">
        <v>2</v>
      </c>
    </row>
    <row r="13" spans="1:6" x14ac:dyDescent="0.3">
      <c r="A13" s="6" t="s">
        <v>25</v>
      </c>
      <c r="B13" s="1">
        <v>5.3039359763162963</v>
      </c>
    </row>
    <row r="14" spans="1:6" ht="17.25" thickBot="1" x14ac:dyDescent="0.35">
      <c r="A14" s="6" t="s">
        <v>26</v>
      </c>
      <c r="B14" s="2">
        <v>616.06517756203561</v>
      </c>
    </row>
    <row r="16" spans="1:6" x14ac:dyDescent="0.3">
      <c r="A16" s="38" t="s">
        <v>39</v>
      </c>
      <c r="B16" s="38"/>
    </row>
    <row r="17" spans="1:4" x14ac:dyDescent="0.3">
      <c r="A17" s="7" t="s">
        <v>17</v>
      </c>
      <c r="B17" s="5" t="s">
        <v>3</v>
      </c>
      <c r="C17" t="s">
        <v>32</v>
      </c>
      <c r="D17" t="s">
        <v>35</v>
      </c>
    </row>
    <row r="18" spans="1:4" x14ac:dyDescent="0.3">
      <c r="A18" s="5">
        <v>0.21540000000000001</v>
      </c>
      <c r="B18" s="5">
        <v>137.9</v>
      </c>
      <c r="C18">
        <f>(B18-$B$13)/$B$14</f>
        <v>0.2152305776288285</v>
      </c>
      <c r="D18">
        <f>(A18-C18)/C18*100</f>
        <v>7.8716682842196559E-2</v>
      </c>
    </row>
    <row r="19" spans="1:4" x14ac:dyDescent="0.3">
      <c r="A19" s="5">
        <v>0.33539999999999998</v>
      </c>
      <c r="B19" s="5">
        <v>212.24</v>
      </c>
      <c r="C19">
        <f t="shared" ref="C19:C22" si="1">(B19-$B$13)/$B$14</f>
        <v>0.3358996280922662</v>
      </c>
      <c r="D19">
        <f t="shared" ref="D19" si="2">(A19-C19)/C19*100</f>
        <v>-0.14874327045369179</v>
      </c>
    </row>
    <row r="20" spans="1:4" x14ac:dyDescent="0.3">
      <c r="A20" s="5">
        <v>0.6</v>
      </c>
      <c r="B20" s="5"/>
    </row>
    <row r="21" spans="1:4" x14ac:dyDescent="0.3">
      <c r="A21" s="5"/>
      <c r="B21" s="15"/>
    </row>
    <row r="22" spans="1:4" x14ac:dyDescent="0.3">
      <c r="A22" s="5">
        <v>2.4169999999999998</v>
      </c>
      <c r="B22" s="5">
        <v>1370</v>
      </c>
      <c r="C22">
        <f t="shared" si="1"/>
        <v>2.2151813050434321</v>
      </c>
      <c r="D22">
        <f t="shared" ref="D22" si="3">(A22-C22)/C22*100</f>
        <v>9.1107077554814726</v>
      </c>
    </row>
    <row r="23" spans="1:4" x14ac:dyDescent="0.3">
      <c r="A23" t="s">
        <v>37</v>
      </c>
      <c r="B23" s="12">
        <v>293</v>
      </c>
      <c r="C23" s="12">
        <f>(B23-$B$13)/$B$14</f>
        <v>0.46698965385803465</v>
      </c>
      <c r="D23" s="12"/>
    </row>
    <row r="25" spans="1:4" x14ac:dyDescent="0.3">
      <c r="D25" s="12"/>
    </row>
  </sheetData>
  <mergeCells count="3">
    <mergeCell ref="A16:B16"/>
    <mergeCell ref="A1:B1"/>
    <mergeCell ref="A11:B11"/>
  </mergeCells>
  <phoneticPr fontId="1" type="noConversion"/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tabSelected="1" workbookViewId="0">
      <selection activeCell="E7" sqref="E7"/>
    </sheetView>
  </sheetViews>
  <sheetFormatPr defaultRowHeight="16.5" x14ac:dyDescent="0.3"/>
  <cols>
    <col min="4" max="4" width="9" style="17"/>
    <col min="5" max="5" width="28" customWidth="1"/>
    <col min="6" max="6" width="18.25" customWidth="1"/>
    <col min="9" max="9" width="31.375" customWidth="1"/>
    <col min="10" max="10" width="18.875" customWidth="1"/>
  </cols>
  <sheetData>
    <row r="2" spans="1:16" x14ac:dyDescent="0.3">
      <c r="A2" s="51" t="s">
        <v>56</v>
      </c>
      <c r="B2" s="51"/>
      <c r="C2" s="51"/>
      <c r="D2" s="11"/>
      <c r="E2" s="52" t="s">
        <v>57</v>
      </c>
      <c r="F2" s="52"/>
      <c r="G2" s="52"/>
      <c r="I2" s="52" t="s">
        <v>58</v>
      </c>
      <c r="J2" s="52"/>
      <c r="K2" s="52"/>
    </row>
    <row r="3" spans="1:16" x14ac:dyDescent="0.3">
      <c r="A3" t="s">
        <v>53</v>
      </c>
      <c r="B3" t="s">
        <v>64</v>
      </c>
      <c r="C3" t="s">
        <v>54</v>
      </c>
      <c r="D3" s="11"/>
      <c r="E3" s="53" t="s">
        <v>72</v>
      </c>
      <c r="F3" s="53" t="s">
        <v>71</v>
      </c>
      <c r="G3" s="53" t="s">
        <v>54</v>
      </c>
      <c r="I3" s="53" t="s">
        <v>72</v>
      </c>
      <c r="J3" s="53" t="s">
        <v>71</v>
      </c>
      <c r="K3" s="53" t="s">
        <v>54</v>
      </c>
      <c r="O3" t="s">
        <v>59</v>
      </c>
      <c r="P3" t="s">
        <v>60</v>
      </c>
    </row>
    <row r="4" spans="1:16" x14ac:dyDescent="0.3">
      <c r="A4">
        <v>300</v>
      </c>
      <c r="B4">
        <v>300.89999999999998</v>
      </c>
      <c r="C4">
        <v>214.88</v>
      </c>
      <c r="D4" s="11"/>
      <c r="E4" s="5">
        <v>300</v>
      </c>
      <c r="F4" s="5">
        <v>300.89999999999998</v>
      </c>
      <c r="G4" s="5">
        <v>213.82</v>
      </c>
      <c r="I4" s="5">
        <v>300</v>
      </c>
      <c r="J4" s="5">
        <v>300.89999999999998</v>
      </c>
      <c r="K4" s="5">
        <v>39.44</v>
      </c>
      <c r="M4">
        <f>SQRT(G4*G4+K4*K4)</f>
        <v>217.42701304115823</v>
      </c>
      <c r="O4">
        <f>M4/J4</f>
        <v>0.7225889433072723</v>
      </c>
      <c r="P4">
        <f>ATAN(K4/G4)</f>
        <v>0.18240398996333154</v>
      </c>
    </row>
    <row r="5" spans="1:16" x14ac:dyDescent="0.3">
      <c r="A5">
        <v>500</v>
      </c>
      <c r="B5">
        <v>501.9</v>
      </c>
      <c r="C5">
        <v>351.5</v>
      </c>
      <c r="D5" s="11"/>
      <c r="E5" s="5">
        <v>500</v>
      </c>
      <c r="F5" s="5">
        <v>501.9</v>
      </c>
      <c r="G5" s="5">
        <v>347.16</v>
      </c>
      <c r="I5" s="5">
        <v>500</v>
      </c>
      <c r="J5" s="5">
        <v>501.9</v>
      </c>
      <c r="K5" s="5">
        <v>65.77</v>
      </c>
      <c r="M5">
        <f t="shared" ref="M5:M8" si="0">SQRT(G5*G5+K5*K5)</f>
        <v>353.33519284101891</v>
      </c>
      <c r="O5">
        <f t="shared" ref="O5:O6" si="1">M5/J5</f>
        <v>0.7039952039071905</v>
      </c>
      <c r="P5">
        <f t="shared" ref="P5:P6" si="2">ATAN(K5/G5)</f>
        <v>0.18723255224964488</v>
      </c>
    </row>
    <row r="6" spans="1:16" ht="17.25" x14ac:dyDescent="0.3">
      <c r="A6">
        <v>700</v>
      </c>
      <c r="B6">
        <v>704</v>
      </c>
      <c r="C6" s="34">
        <v>489.15</v>
      </c>
      <c r="D6" s="11"/>
      <c r="E6" s="5">
        <v>700</v>
      </c>
      <c r="F6" s="5">
        <v>704</v>
      </c>
      <c r="G6" s="5">
        <v>480.66</v>
      </c>
      <c r="I6" s="5">
        <v>700</v>
      </c>
      <c r="J6" s="5">
        <v>704</v>
      </c>
      <c r="K6" s="5">
        <v>94.48</v>
      </c>
      <c r="M6">
        <f t="shared" si="0"/>
        <v>489.85763850326964</v>
      </c>
      <c r="O6">
        <f t="shared" si="1"/>
        <v>0.69582050923759897</v>
      </c>
      <c r="P6">
        <f t="shared" si="2"/>
        <v>0.19408863534483473</v>
      </c>
    </row>
    <row r="7" spans="1:16" ht="17.25" x14ac:dyDescent="0.3">
      <c r="A7">
        <v>395</v>
      </c>
      <c r="B7">
        <v>396.2</v>
      </c>
      <c r="C7" s="34">
        <v>289.49</v>
      </c>
      <c r="E7" s="35" t="s">
        <v>70</v>
      </c>
      <c r="G7">
        <v>306.74</v>
      </c>
      <c r="I7" t="s">
        <v>70</v>
      </c>
      <c r="K7">
        <v>58.31</v>
      </c>
    </row>
    <row r="8" spans="1:16" x14ac:dyDescent="0.3">
      <c r="A8" t="s">
        <v>55</v>
      </c>
      <c r="C8">
        <v>310.39</v>
      </c>
      <c r="D8" s="17">
        <f>($B$5-$B$4)/($C$5-$C$4)*(C8-$C$4)+$B$4</f>
        <v>441.41756697408869</v>
      </c>
      <c r="E8" s="35" t="s">
        <v>73</v>
      </c>
      <c r="F8">
        <f>($F$5-$F$4)/($G$5-$G$4)*(G7-$G$4)+$F$4</f>
        <v>440.96989650517469</v>
      </c>
      <c r="I8" s="35"/>
      <c r="M8">
        <f t="shared" si="0"/>
        <v>0</v>
      </c>
      <c r="O8" t="e">
        <f>M8/I9</f>
        <v>#DIV/0!</v>
      </c>
      <c r="P8" t="e">
        <f>ATAN(K8/G8)</f>
        <v>#DIV/0!</v>
      </c>
    </row>
    <row r="10" spans="1:16" x14ac:dyDescent="0.3">
      <c r="A10" t="s">
        <v>61</v>
      </c>
      <c r="C10">
        <v>415</v>
      </c>
    </row>
    <row r="11" spans="1:16" x14ac:dyDescent="0.3">
      <c r="B11" t="s">
        <v>62</v>
      </c>
      <c r="C11" s="17">
        <f>($B$6-$B$5)/($C$6-$C$5)*(C10-$C$5)+$B$5</f>
        <v>595.13174718488926</v>
      </c>
    </row>
    <row r="12" spans="1:16" x14ac:dyDescent="0.3">
      <c r="B12" t="s">
        <v>67</v>
      </c>
      <c r="C12" s="17">
        <v>538</v>
      </c>
    </row>
    <row r="13" spans="1:16" x14ac:dyDescent="0.3">
      <c r="B13" t="s">
        <v>63</v>
      </c>
      <c r="C13" s="17">
        <v>573</v>
      </c>
    </row>
    <row r="17" spans="1:3" x14ac:dyDescent="0.3">
      <c r="A17" s="51" t="s">
        <v>65</v>
      </c>
      <c r="B17" s="51"/>
      <c r="C17" s="51"/>
    </row>
    <row r="18" spans="1:3" x14ac:dyDescent="0.3">
      <c r="A18">
        <v>300</v>
      </c>
      <c r="B18">
        <v>300.89999999999998</v>
      </c>
      <c r="C18">
        <v>192.19</v>
      </c>
    </row>
    <row r="19" spans="1:3" x14ac:dyDescent="0.3">
      <c r="A19">
        <v>500</v>
      </c>
      <c r="B19">
        <v>501.9</v>
      </c>
      <c r="C19">
        <v>314.38</v>
      </c>
    </row>
    <row r="20" spans="1:3" ht="17.25" x14ac:dyDescent="0.3">
      <c r="A20">
        <v>700</v>
      </c>
      <c r="B20">
        <v>704</v>
      </c>
      <c r="C20" s="34">
        <v>437.34</v>
      </c>
    </row>
    <row r="22" spans="1:3" x14ac:dyDescent="0.3">
      <c r="A22" t="s">
        <v>66</v>
      </c>
      <c r="C22">
        <v>305.91000000000003</v>
      </c>
    </row>
    <row r="24" spans="1:3" x14ac:dyDescent="0.3">
      <c r="B24" t="s">
        <v>68</v>
      </c>
      <c r="C24">
        <f>($B$19-$B$18)/($C$19-$C$18)*(C22-$C$18)+$B$18</f>
        <v>487.96702676160078</v>
      </c>
    </row>
    <row r="25" spans="1:3" x14ac:dyDescent="0.3">
      <c r="B25" t="s">
        <v>69</v>
      </c>
      <c r="C25">
        <v>472</v>
      </c>
    </row>
  </sheetData>
  <mergeCells count="4">
    <mergeCell ref="A2:C2"/>
    <mergeCell ref="E2:G2"/>
    <mergeCell ref="I2:K2"/>
    <mergeCell ref="A17:C1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체중</vt:lpstr>
      <vt:lpstr>임피던스 64kHz</vt:lpstr>
      <vt:lpstr>임피던스 50kHz </vt:lpstr>
      <vt:lpstr>임피던스 20kHz   (2)</vt:lpstr>
      <vt:lpstr>임피던스 100kHz   (2)</vt:lpstr>
      <vt:lpstr>2017-05-15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</dc:creator>
  <cp:lastModifiedBy>bd</cp:lastModifiedBy>
  <cp:lastPrinted>2017-04-11T09:05:40Z</cp:lastPrinted>
  <dcterms:created xsi:type="dcterms:W3CDTF">2017-04-10T12:53:22Z</dcterms:created>
  <dcterms:modified xsi:type="dcterms:W3CDTF">2017-05-17T06:47:38Z</dcterms:modified>
</cp:coreProperties>
</file>